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PC\board-meeting-materials\board-meeting-packets\Oct_23\"/>
    </mc:Choice>
  </mc:AlternateContent>
  <xr:revisionPtr revIDLastSave="0" documentId="13_ncr:1_{90EF91FB-C123-4B54-8C7B-2903F3728419}" xr6:coauthVersionLast="47" xr6:coauthVersionMax="47" xr10:uidLastSave="{00000000-0000-0000-0000-000000000000}"/>
  <bookViews>
    <workbookView xWindow="-28920" yWindow="-120" windowWidth="29040" windowHeight="15840" xr2:uid="{772D27BC-1A07-43BE-A2FA-E4F4B5C62069}"/>
  </bookViews>
  <sheets>
    <sheet name="Shared with BPC on 9-29-23" sheetId="1" r:id="rId1"/>
  </sheets>
  <externalReferences>
    <externalReference r:id="rId2"/>
    <externalReference r:id="rId3"/>
  </externalReferences>
  <definedNames>
    <definedName name="_xlnm.Print_Area" localSheetId="0">'Shared with BPC on 9-29-23'!$A$1:$AC$71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3" i="1" l="1"/>
  <c r="S101" i="1"/>
  <c r="S56" i="1" s="1"/>
  <c r="R101" i="1"/>
  <c r="Q101" i="1"/>
  <c r="Q56" i="1" s="1"/>
  <c r="Q95" i="1"/>
  <c r="R95" i="1" s="1"/>
  <c r="S95" i="1" s="1"/>
  <c r="R93" i="1"/>
  <c r="S93" i="1" s="1"/>
  <c r="R92" i="1"/>
  <c r="S92" i="1" s="1"/>
  <c r="R90" i="1"/>
  <c r="Q79" i="1"/>
  <c r="S78" i="1"/>
  <c r="O65" i="1"/>
  <c r="R59" i="1"/>
  <c r="S59" i="1" s="1"/>
  <c r="O59" i="1"/>
  <c r="R58" i="1"/>
  <c r="S58" i="1" s="1"/>
  <c r="O58" i="1"/>
  <c r="R56" i="1"/>
  <c r="O56" i="1"/>
  <c r="S55" i="1"/>
  <c r="R55" i="1"/>
  <c r="Q55" i="1"/>
  <c r="O55" i="1"/>
  <c r="O53" i="1"/>
  <c r="R52" i="1"/>
  <c r="S52" i="1" s="1"/>
  <c r="R50" i="1"/>
  <c r="S50" i="1" s="1"/>
  <c r="O50" i="1"/>
  <c r="O47" i="1"/>
  <c r="S44" i="1"/>
  <c r="R44" i="1"/>
  <c r="Q44" i="1"/>
  <c r="O44" i="1"/>
  <c r="S43" i="1"/>
  <c r="R43" i="1"/>
  <c r="Q43" i="1"/>
  <c r="M43" i="1"/>
  <c r="L43" i="1"/>
  <c r="L68" i="1" s="1"/>
  <c r="K43" i="1"/>
  <c r="K68" i="1" s="1"/>
  <c r="J43" i="1"/>
  <c r="J68" i="1" s="1"/>
  <c r="I43" i="1"/>
  <c r="I68" i="1" s="1"/>
  <c r="H43" i="1"/>
  <c r="H68" i="1" s="1"/>
  <c r="G43" i="1"/>
  <c r="G68" i="1" s="1"/>
  <c r="F43" i="1"/>
  <c r="F68" i="1" s="1"/>
  <c r="E43" i="1"/>
  <c r="E68" i="1" s="1"/>
  <c r="D43" i="1"/>
  <c r="D68" i="1" s="1"/>
  <c r="C43" i="1"/>
  <c r="O42" i="1"/>
  <c r="O41" i="1"/>
  <c r="O40" i="1"/>
  <c r="O38" i="1"/>
  <c r="O37" i="1"/>
  <c r="M32" i="1"/>
  <c r="L32" i="1"/>
  <c r="K32" i="1"/>
  <c r="J32" i="1"/>
  <c r="I32" i="1"/>
  <c r="H32" i="1"/>
  <c r="G32" i="1"/>
  <c r="F32" i="1"/>
  <c r="E32" i="1"/>
  <c r="D32" i="1"/>
  <c r="C32" i="1"/>
  <c r="O31" i="1"/>
  <c r="O30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S12" i="1"/>
  <c r="S94" i="1" s="1"/>
  <c r="R12" i="1"/>
  <c r="R94" i="1" s="1"/>
  <c r="Q12" i="1"/>
  <c r="O12" i="1"/>
  <c r="N57" i="1"/>
  <c r="N51" i="1"/>
  <c r="N45" i="1"/>
  <c r="N67" i="1"/>
  <c r="N39" i="1"/>
  <c r="N48" i="1"/>
  <c r="N64" i="1"/>
  <c r="N49" i="1"/>
  <c r="N54" i="1"/>
  <c r="N52" i="1"/>
  <c r="N46" i="1"/>
  <c r="N36" i="1"/>
  <c r="N62" i="1"/>
  <c r="N63" i="1"/>
  <c r="N60" i="1"/>
  <c r="N61" i="1"/>
  <c r="R96" i="1" l="1"/>
  <c r="R53" i="1" s="1"/>
  <c r="R66" i="1" s="1"/>
  <c r="R68" i="1" s="1"/>
  <c r="R81" i="1" s="1"/>
  <c r="O46" i="1"/>
  <c r="O52" i="1"/>
  <c r="O54" i="1"/>
  <c r="O61" i="1"/>
  <c r="O63" i="1"/>
  <c r="O49" i="1"/>
  <c r="O36" i="1"/>
  <c r="N43" i="1"/>
  <c r="O39" i="1"/>
  <c r="O45" i="1"/>
  <c r="O51" i="1"/>
  <c r="O57" i="1"/>
  <c r="O60" i="1"/>
  <c r="O62" i="1"/>
  <c r="O64" i="1"/>
  <c r="O48" i="1"/>
  <c r="O67" i="1"/>
  <c r="Q94" i="1"/>
  <c r="Q96" i="1" s="1"/>
  <c r="Q53" i="1" s="1"/>
  <c r="Q66" i="1" s="1"/>
  <c r="M66" i="1"/>
  <c r="C68" i="1"/>
  <c r="N29" i="1"/>
  <c r="S90" i="1"/>
  <c r="S96" i="1" s="1"/>
  <c r="S53" i="1" s="1"/>
  <c r="S66" i="1" s="1"/>
  <c r="R29" i="1" l="1"/>
  <c r="R32" i="1" s="1"/>
  <c r="R75" i="1" s="1"/>
  <c r="R33" i="1" s="1"/>
  <c r="Q29" i="1"/>
  <c r="Q32" i="1" s="1"/>
  <c r="Q68" i="1"/>
  <c r="Q81" i="1" s="1"/>
  <c r="N66" i="1"/>
  <c r="O66" i="1" s="1"/>
  <c r="N68" i="1"/>
  <c r="S29" i="1"/>
  <c r="S32" i="1" s="1"/>
  <c r="S68" i="1"/>
  <c r="S81" i="1" s="1"/>
  <c r="O43" i="1"/>
  <c r="N32" i="1"/>
  <c r="O29" i="1"/>
  <c r="O32" i="1" s="1"/>
  <c r="C71" i="1"/>
  <c r="D9" i="1" s="1"/>
  <c r="D71" i="1" s="1"/>
  <c r="E9" i="1" s="1"/>
  <c r="E71" i="1" s="1"/>
  <c r="F9" i="1" s="1"/>
  <c r="F71" i="1" s="1"/>
  <c r="G9" i="1" s="1"/>
  <c r="G71" i="1" s="1"/>
  <c r="H9" i="1" s="1"/>
  <c r="H71" i="1" s="1"/>
  <c r="I9" i="1" s="1"/>
  <c r="I71" i="1" s="1"/>
  <c r="J9" i="1" s="1"/>
  <c r="J71" i="1" s="1"/>
  <c r="K9" i="1" s="1"/>
  <c r="K71" i="1" s="1"/>
  <c r="L9" i="1" s="1"/>
  <c r="L71" i="1" s="1"/>
  <c r="M9" i="1" s="1"/>
  <c r="M71" i="1" s="1"/>
  <c r="N9" i="1" s="1"/>
  <c r="N71" i="1" s="1"/>
  <c r="M68" i="1"/>
  <c r="O68" i="1" l="1"/>
  <c r="O75" i="1"/>
  <c r="O33" i="1" s="1"/>
  <c r="O71" i="1"/>
  <c r="Q9" i="1" s="1"/>
  <c r="Q71" i="1" s="1"/>
  <c r="R9" i="1" s="1"/>
  <c r="R71" i="1" s="1"/>
  <c r="S9" i="1" s="1"/>
  <c r="S71" i="1" s="1"/>
  <c r="S75" i="1"/>
  <c r="S33" i="1" s="1"/>
  <c r="Q75" i="1"/>
  <c r="Q33" i="1" s="1"/>
</calcChain>
</file>

<file path=xl/sharedStrings.xml><?xml version="1.0" encoding="utf-8"?>
<sst xmlns="http://schemas.openxmlformats.org/spreadsheetml/2006/main" count="168" uniqueCount="156">
  <si>
    <t>BOARD OF PESTICIDES CONTROL - SUMMARY</t>
  </si>
  <si>
    <t>014-01A-0287-01 CASH REPORT</t>
  </si>
  <si>
    <t>ACTUAL FY2023; PROJECTIONS FOR FY2024, FY2025 AND FY2026</t>
  </si>
  <si>
    <t>AS OF: September 29, 2023</t>
  </si>
  <si>
    <t>CURRENT FISCAL YEAR 2023 (BY MONTH)</t>
  </si>
  <si>
    <t>ACTUAL FY2023</t>
  </si>
  <si>
    <t>ESTIMATED FY2024</t>
  </si>
  <si>
    <t>ESTIMATED FY2025</t>
  </si>
  <si>
    <t>ESTIMATED FY2026</t>
  </si>
  <si>
    <t>BALANCE FORWARD</t>
  </si>
  <si>
    <t>Expenditures</t>
  </si>
  <si>
    <t>Revenues:</t>
  </si>
  <si>
    <t>Year</t>
  </si>
  <si>
    <t>1407</t>
  </si>
  <si>
    <t>REG INSECT &amp; FUNGICIDES</t>
  </si>
  <si>
    <t>based on 11,459 Product registrations</t>
  </si>
  <si>
    <t>Item</t>
  </si>
  <si>
    <t>1448</t>
  </si>
  <si>
    <t>SPECIAL LICENSES &amp; LEASES</t>
  </si>
  <si>
    <t xml:space="preserve">Staying flat for </t>
  </si>
  <si>
    <t>Obsoletes</t>
  </si>
  <si>
    <t>REGISTRATION FEE</t>
  </si>
  <si>
    <t>FED GRANTS FOR PUB HEALTH</t>
  </si>
  <si>
    <t>REGISTRATION FEES</t>
  </si>
  <si>
    <t>2637</t>
  </si>
  <si>
    <t>MISC SERVICES &amp; FEES</t>
  </si>
  <si>
    <t>SALE LABELS CARTONS</t>
  </si>
  <si>
    <t>SALE MAILING LISTS</t>
  </si>
  <si>
    <t>2671</t>
  </si>
  <si>
    <t>SALE OF PROMOTIONAL ITEMS</t>
  </si>
  <si>
    <t>OVERPAYMENTS TO BE REFUNDED</t>
  </si>
  <si>
    <t>2686</t>
  </si>
  <si>
    <t>MISC-INCOME</t>
  </si>
  <si>
    <t>RECOVERED COST</t>
  </si>
  <si>
    <t>DACF Mosquito</t>
  </si>
  <si>
    <t>2934</t>
  </si>
  <si>
    <t>TRANS FROM GENERAL FD SURPLUS</t>
  </si>
  <si>
    <t>2952</t>
  </si>
  <si>
    <t>ADJ TO PRIOR YEAR BAL/UNALLOCT</t>
  </si>
  <si>
    <t>2953</t>
  </si>
  <si>
    <t>ADJ OF ALL OTHER BALANCE FWD</t>
  </si>
  <si>
    <t>rev</t>
  </si>
  <si>
    <t>CDC Mosquito</t>
  </si>
  <si>
    <t>???</t>
  </si>
  <si>
    <t>ADJ OF PERS SERV BALANCE FWD</t>
  </si>
  <si>
    <t>2968</t>
  </si>
  <si>
    <t>REG TRANSFER UNALLOCATED</t>
  </si>
  <si>
    <t>CDC MOU</t>
  </si>
  <si>
    <t>2978</t>
  </si>
  <si>
    <t>DICAP TRANSFER</t>
  </si>
  <si>
    <t>Inflate budget</t>
  </si>
  <si>
    <t>DACF IPM</t>
  </si>
  <si>
    <t>2979</t>
  </si>
  <si>
    <t>TRANSFER FOR INDIRECT COST</t>
  </si>
  <si>
    <t>Bernard funding</t>
  </si>
  <si>
    <t>2981</t>
  </si>
  <si>
    <t>LEGIS TRANSFER OF REVENUE</t>
  </si>
  <si>
    <t>UMCE Funding</t>
  </si>
  <si>
    <t>TOTAL REVENUES</t>
  </si>
  <si>
    <t>Education Outreach</t>
  </si>
  <si>
    <t>Expenditures:</t>
  </si>
  <si>
    <t>31</t>
  </si>
  <si>
    <t>SALARIES AND WAGES</t>
  </si>
  <si>
    <t>32</t>
  </si>
  <si>
    <t>34</t>
  </si>
  <si>
    <t>36</t>
  </si>
  <si>
    <t>38</t>
  </si>
  <si>
    <t>39</t>
  </si>
  <si>
    <t>FRINGE BENEFITS</t>
  </si>
  <si>
    <t>31-39</t>
  </si>
  <si>
    <t>TOTAL SALARY &amp; FRINGE</t>
  </si>
  <si>
    <t>40</t>
  </si>
  <si>
    <t>PROF. SERVICES, NOT BY STATE</t>
  </si>
  <si>
    <t>Obsoletes, temps</t>
  </si>
  <si>
    <t>41</t>
  </si>
  <si>
    <t>PROF. SERVICES, BY STATE</t>
  </si>
  <si>
    <t>42</t>
  </si>
  <si>
    <t>TRAVEL EXPENSES, IN STATE</t>
  </si>
  <si>
    <t>43</t>
  </si>
  <si>
    <t>TRAVEL EXPENSES, OUT OF STATE</t>
  </si>
  <si>
    <t>44</t>
  </si>
  <si>
    <t>STATE VEHICLES OPERATION</t>
  </si>
  <si>
    <t>45</t>
  </si>
  <si>
    <t>UTILITY SERVICES</t>
  </si>
  <si>
    <t>46</t>
  </si>
  <si>
    <t>RENTS</t>
  </si>
  <si>
    <t>vehicles</t>
  </si>
  <si>
    <t>47</t>
  </si>
  <si>
    <t>REPAIRS</t>
  </si>
  <si>
    <t>48</t>
  </si>
  <si>
    <t>INSURANCE</t>
  </si>
  <si>
    <t>bond and tort</t>
  </si>
  <si>
    <t>49</t>
  </si>
  <si>
    <t>GENERAL OPERATIONS</t>
  </si>
  <si>
    <t>board meetings, credit cards</t>
  </si>
  <si>
    <t>50</t>
  </si>
  <si>
    <t>EMPLOYEE TRAINING</t>
  </si>
  <si>
    <t>course,</t>
  </si>
  <si>
    <t>51</t>
  </si>
  <si>
    <t>COMMODITIES - FOOD</t>
  </si>
  <si>
    <t>snacks</t>
  </si>
  <si>
    <t>53</t>
  </si>
  <si>
    <t>TECHNOLOGY</t>
  </si>
  <si>
    <t>54</t>
  </si>
  <si>
    <t>CLOTHING</t>
  </si>
  <si>
    <t>55</t>
  </si>
  <si>
    <t>EQUIPMENT AND TECHNOLOGY</t>
  </si>
  <si>
    <t>cell phones, temps laptops</t>
  </si>
  <si>
    <t>56</t>
  </si>
  <si>
    <t>OFFICE &amp; OTHER SUPPLIES</t>
  </si>
  <si>
    <t>WBM</t>
  </si>
  <si>
    <t>58</t>
  </si>
  <si>
    <t>HIGHWAY MATERIALS</t>
  </si>
  <si>
    <t>GRANTS TO CITIES AND TOWNS</t>
  </si>
  <si>
    <t>64</t>
  </si>
  <si>
    <t>GRANTS TO PUB AND PRIV ORGNS</t>
  </si>
  <si>
    <t>Maine Mobile Health</t>
  </si>
  <si>
    <t>67</t>
  </si>
  <si>
    <t>ASSISTANCE AND RELIEF GRANT</t>
  </si>
  <si>
    <t>72</t>
  </si>
  <si>
    <t>EQUIPMENT</t>
  </si>
  <si>
    <t>82</t>
  </si>
  <si>
    <t>ADMINISTRATIVE CHARGES AND FEE</t>
  </si>
  <si>
    <t>85</t>
  </si>
  <si>
    <t>TRANSFERS</t>
  </si>
  <si>
    <t>Stay cap</t>
  </si>
  <si>
    <t>State</t>
  </si>
  <si>
    <t>90</t>
  </si>
  <si>
    <t>CHARGES TO ASSETS AND LIAB.</t>
  </si>
  <si>
    <t>TOTAL EXPENDITURES</t>
  </si>
  <si>
    <t>CURRENT CASH BALANCE</t>
  </si>
  <si>
    <t>STA-CAP</t>
  </si>
  <si>
    <t xml:space="preserve">Added 3 positions to BPC Funding, and moved 5 Plant Health positions to General Fund. </t>
  </si>
  <si>
    <t>STA-CAP rate based on FY2024 Actual Rate.</t>
  </si>
  <si>
    <t>Sta-Cap Rate</t>
  </si>
  <si>
    <t>Option 1 Gov change package</t>
  </si>
  <si>
    <t>Swapping 5 H and 3 GF back  to BPC</t>
  </si>
  <si>
    <t>Option 2 ACF request</t>
  </si>
  <si>
    <t>Savings if 5 Positions moved to GF</t>
  </si>
  <si>
    <t>49-General Operations</t>
  </si>
  <si>
    <t xml:space="preserve">  Postage</t>
  </si>
  <si>
    <t xml:space="preserve">   Obsoletes</t>
  </si>
  <si>
    <t>Moved up to 40</t>
  </si>
  <si>
    <t xml:space="preserve">    Misc </t>
  </si>
  <si>
    <t xml:space="preserve">    Secretary of State advertising</t>
  </si>
  <si>
    <t xml:space="preserve">   CC Fees</t>
  </si>
  <si>
    <t>Board members meeting  700/meeting</t>
  </si>
  <si>
    <t>MEPERLS</t>
  </si>
  <si>
    <t>Hillary-DACF Mosquito</t>
  </si>
  <si>
    <t xml:space="preserve"> Mosquito Unit so easier to keep track</t>
  </si>
  <si>
    <t>Hillary- DACF IPM</t>
  </si>
  <si>
    <t>Difference</t>
  </si>
  <si>
    <t>Bernard/UMCE Funding</t>
  </si>
  <si>
    <t>Peterson</t>
  </si>
  <si>
    <t>MePERLS</t>
  </si>
  <si>
    <t>Fiscal Year July 1, to June 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</si>
</sst>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43" fontId="5" fillId="0" borderId="0" xfId="0" applyNumberFormat="1" applyFont="1" applyAlignment="1">
      <alignment horizontal="centerContinuous"/>
    </xf>
    <xf numFmtId="0" fontId="0" fillId="0" borderId="0" xfId="0" applyAlignment="1">
      <alignment horizontal="centerContinuous"/>
    </xf>
    <xf numFmtId="43" fontId="0" fillId="0" borderId="0" xfId="0" applyNumberFormat="1" applyAlignment="1">
      <alignment horizontal="centerContinuous"/>
    </xf>
    <xf numFmtId="49" fontId="4" fillId="0" borderId="0" xfId="0" applyNumberFormat="1" applyFont="1" applyAlignment="1">
      <alignment horizontal="center"/>
    </xf>
    <xf numFmtId="0" fontId="4" fillId="0" borderId="0" xfId="0" applyFont="1"/>
    <xf numFmtId="14" fontId="4" fillId="0" borderId="0" xfId="0" applyNumberFormat="1" applyFont="1"/>
    <xf numFmtId="43" fontId="2" fillId="0" borderId="0" xfId="0" applyNumberFormat="1" applyFont="1"/>
    <xf numFmtId="0" fontId="4" fillId="2" borderId="0" xfId="0" applyFont="1" applyFill="1"/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6" fillId="3" borderId="0" xfId="0" applyFont="1" applyFill="1"/>
    <xf numFmtId="0" fontId="6" fillId="2" borderId="0" xfId="0" applyFont="1" applyFill="1"/>
    <xf numFmtId="0" fontId="3" fillId="0" borderId="0" xfId="0" applyFont="1" applyAlignment="1">
      <alignment horizontal="center"/>
    </xf>
    <xf numFmtId="17" fontId="7" fillId="3" borderId="1" xfId="0" applyNumberFormat="1" applyFont="1" applyFill="1" applyBorder="1" applyAlignment="1">
      <alignment horizontal="center"/>
    </xf>
    <xf numFmtId="43" fontId="7" fillId="3" borderId="0" xfId="0" applyNumberFormat="1" applyFont="1" applyFill="1" applyAlignment="1">
      <alignment horizontal="center" wrapText="1"/>
    </xf>
    <xf numFmtId="0" fontId="6" fillId="0" borderId="0" xfId="0" applyFont="1" applyAlignment="1">
      <alignment horizontal="center" wrapText="1"/>
    </xf>
    <xf numFmtId="43" fontId="7" fillId="0" borderId="0" xfId="0" applyNumberFormat="1" applyFont="1" applyAlignment="1">
      <alignment horizontal="center"/>
    </xf>
    <xf numFmtId="43" fontId="7" fillId="0" borderId="0" xfId="0" applyNumberFormat="1" applyFont="1"/>
    <xf numFmtId="43" fontId="7" fillId="2" borderId="0" xfId="0" applyNumberFormat="1" applyFont="1" applyFill="1"/>
    <xf numFmtId="43" fontId="6" fillId="0" borderId="0" xfId="0" applyNumberFormat="1" applyFont="1"/>
    <xf numFmtId="49" fontId="7" fillId="4" borderId="0" xfId="0" applyNumberFormat="1" applyFont="1" applyFill="1" applyAlignment="1">
      <alignment horizontal="left"/>
    </xf>
    <xf numFmtId="0" fontId="6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6" fillId="3" borderId="0" xfId="0" applyNumberFormat="1" applyFont="1" applyFill="1"/>
    <xf numFmtId="43" fontId="6" fillId="3" borderId="0" xfId="1" applyFont="1" applyFill="1"/>
    <xf numFmtId="0" fontId="7" fillId="0" borderId="2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43" fontId="6" fillId="0" borderId="0" xfId="1" applyFont="1"/>
    <xf numFmtId="164" fontId="6" fillId="0" borderId="0" xfId="0" applyNumberFormat="1" applyFont="1"/>
    <xf numFmtId="0" fontId="7" fillId="0" borderId="3" xfId="0" applyFont="1" applyBorder="1"/>
    <xf numFmtId="43" fontId="7" fillId="0" borderId="3" xfId="0" applyNumberFormat="1" applyFont="1" applyBorder="1"/>
    <xf numFmtId="0" fontId="7" fillId="2" borderId="0" xfId="0" applyFont="1" applyFill="1"/>
    <xf numFmtId="0" fontId="7" fillId="0" borderId="0" xfId="0" applyFont="1"/>
    <xf numFmtId="164" fontId="7" fillId="0" borderId="0" xfId="0" applyNumberFormat="1" applyFont="1" applyAlignment="1">
      <alignment horizontal="center"/>
    </xf>
    <xf numFmtId="49" fontId="7" fillId="5" borderId="0" xfId="0" applyNumberFormat="1" applyFont="1" applyFill="1" applyAlignment="1">
      <alignment horizontal="left"/>
    </xf>
    <xf numFmtId="0" fontId="6" fillId="0" borderId="0" xfId="0" applyFont="1" applyAlignment="1">
      <alignment horizontal="left"/>
    </xf>
    <xf numFmtId="43" fontId="6" fillId="0" borderId="0" xfId="1" applyFont="1" applyFill="1"/>
    <xf numFmtId="40" fontId="7" fillId="0" borderId="0" xfId="0" applyNumberFormat="1" applyFont="1" applyAlignment="1">
      <alignment horizontal="center"/>
    </xf>
    <xf numFmtId="40" fontId="7" fillId="3" borderId="3" xfId="0" applyNumberFormat="1" applyFont="1" applyFill="1" applyBorder="1"/>
    <xf numFmtId="40" fontId="7" fillId="6" borderId="3" xfId="0" applyNumberFormat="1" applyFont="1" applyFill="1" applyBorder="1"/>
    <xf numFmtId="40" fontId="7" fillId="2" borderId="0" xfId="0" applyNumberFormat="1" applyFont="1" applyFill="1"/>
    <xf numFmtId="40" fontId="7" fillId="0" borderId="0" xfId="0" applyNumberFormat="1" applyFont="1"/>
    <xf numFmtId="49" fontId="0" fillId="0" borderId="0" xfId="0" applyNumberFormat="1" applyAlignment="1">
      <alignment horizontal="center"/>
    </xf>
    <xf numFmtId="43" fontId="0" fillId="0" borderId="0" xfId="0" applyNumberFormat="1"/>
    <xf numFmtId="43" fontId="3" fillId="7" borderId="0" xfId="0" applyNumberFormat="1" applyFont="1" applyFill="1"/>
    <xf numFmtId="0" fontId="0" fillId="7" borderId="0" xfId="0" applyFill="1"/>
    <xf numFmtId="49" fontId="0" fillId="0" borderId="0" xfId="0" applyNumberFormat="1" applyAlignment="1">
      <alignment horizontal="left"/>
    </xf>
    <xf numFmtId="43" fontId="3" fillId="0" borderId="0" xfId="0" applyNumberFormat="1" applyFont="1"/>
    <xf numFmtId="0" fontId="0" fillId="0" borderId="0" xfId="0" applyAlignment="1">
      <alignment horizontal="left"/>
    </xf>
    <xf numFmtId="43" fontId="0" fillId="7" borderId="0" xfId="0" applyNumberFormat="1" applyFill="1"/>
    <xf numFmtId="0" fontId="0" fillId="2" borderId="0" xfId="0" applyFill="1"/>
    <xf numFmtId="43" fontId="0" fillId="0" borderId="0" xfId="0" applyNumberFormat="1" applyAlignment="1">
      <alignment horizontal="right"/>
    </xf>
    <xf numFmtId="43" fontId="0" fillId="0" borderId="0" xfId="1" applyFont="1"/>
    <xf numFmtId="43" fontId="0" fillId="8" borderId="0" xfId="0" applyNumberFormat="1" applyFill="1"/>
    <xf numFmtId="43" fontId="3" fillId="8" borderId="0" xfId="0" applyNumberFormat="1" applyFont="1" applyFill="1"/>
    <xf numFmtId="0" fontId="0" fillId="8" borderId="0" xfId="0" applyFill="1"/>
    <xf numFmtId="43" fontId="0" fillId="8" borderId="0" xfId="1" applyFont="1" applyFill="1"/>
    <xf numFmtId="40" fontId="0" fillId="0" borderId="0" xfId="0" applyNumberFormat="1"/>
    <xf numFmtId="43" fontId="0" fillId="9" borderId="0" xfId="0" applyNumberFormat="1" applyFill="1"/>
    <xf numFmtId="43" fontId="3" fillId="9" borderId="0" xfId="0" applyNumberFormat="1" applyFont="1" applyFill="1"/>
    <xf numFmtId="43" fontId="0" fillId="0" borderId="4" xfId="1" applyFont="1" applyBorder="1"/>
    <xf numFmtId="0" fontId="6" fillId="9" borderId="0" xfId="0" applyFont="1" applyFill="1"/>
    <xf numFmtId="43" fontId="6" fillId="0" borderId="0" xfId="1" applyFont="1" applyAlignment="1">
      <alignment horizontal="center"/>
    </xf>
    <xf numFmtId="0" fontId="7" fillId="0" borderId="0" xfId="0" applyFont="1" applyAlignment="1">
      <alignment horizontal="right"/>
    </xf>
    <xf numFmtId="43" fontId="7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sourceAdmin\Betty%20Rancourt\Reports\014%20Dedicated%20Reports\Board%20of%20Pesticides%20Control\BPC%20Projections%20as%20of%204-14-2022\BPC%20PROJECTIONS%20FY23%20FY%2024%20&amp;%20FY25\014-01A-0287-01%20BP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udget%20Docs/BPC%20Projections%20Actual%20FY%2023%20FY%2024%20FY%2025%20and%20FY26%20October%2013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 Summary"/>
      <sheetName val="MEPERLS Monthly cost"/>
      <sheetName val="Cube"/>
      <sheetName val="Historical Summary Cube"/>
      <sheetName val="General Expenses"/>
      <sheetName val="Temp Services"/>
      <sheetName val="ytd 2008-2023"/>
      <sheetName val="Payroll"/>
      <sheetName val="4003 Cube"/>
      <sheetName val="4302 Cube"/>
      <sheetName val="4343 Cube"/>
      <sheetName val="4373 Cube"/>
      <sheetName val="4403 Cube"/>
      <sheetName val="MOSQ Cube"/>
      <sheetName val="0287 Cube"/>
    </sheetNames>
    <sheetDataSet>
      <sheetData sheetId="0"/>
      <sheetData sheetId="1"/>
      <sheetData sheetId="2"/>
      <sheetData sheetId="3">
        <row r="73">
          <cell r="AA73" t="str">
            <v>Jrnl Posting Am</v>
          </cell>
        </row>
      </sheetData>
      <sheetData sheetId="4"/>
      <sheetData sheetId="5"/>
      <sheetData sheetId="6"/>
      <sheetData sheetId="7">
        <row r="60">
          <cell r="AT60">
            <v>1591675.97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with BPC on 9-29-23"/>
      <sheetName val="Account Summary"/>
      <sheetName val="Change Package effects of Pay"/>
      <sheetName val="MEPERLS Monthly cost"/>
      <sheetName val="Cube"/>
      <sheetName val="Historical Summary Cube"/>
      <sheetName val="General Operating Exp"/>
      <sheetName val="Temp Services"/>
      <sheetName val="ytd 2008-2023"/>
      <sheetName val="Payroll"/>
      <sheetName val="Sheet1"/>
      <sheetName val="4003 Cube"/>
      <sheetName val="4302 Cube"/>
      <sheetName val="4343 Cube"/>
      <sheetName val="4373 Cube"/>
      <sheetName val="4403 Cube"/>
      <sheetName val="MOSQ Cube"/>
      <sheetName val="0287 Cub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0">
          <cell r="AT60">
            <v>1263449.24</v>
          </cell>
          <cell r="AV60">
            <v>1317719.3599999999</v>
          </cell>
          <cell r="AX60">
            <v>1356780.3711999999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7568F-BE4C-46E4-98C2-A02DA3BB95CF}">
  <sheetPr>
    <tabColor theme="2" tint="-0.249977111117893"/>
    <pageSetUpPr fitToPage="1"/>
  </sheetPr>
  <dimension ref="A1:AC149"/>
  <sheetViews>
    <sheetView tabSelected="1" zoomScale="115" zoomScaleNormal="115" workbookViewId="0">
      <selection activeCell="A151" sqref="A151:XFD151"/>
    </sheetView>
  </sheetViews>
  <sheetFormatPr defaultColWidth="9.140625" defaultRowHeight="15" x14ac:dyDescent="0.25"/>
  <cols>
    <col min="1" max="1" width="15" style="43" bestFit="1" customWidth="1"/>
    <col min="2" max="2" width="80.7109375" bestFit="1" customWidth="1"/>
    <col min="3" max="12" width="14.7109375" style="44" hidden="1" customWidth="1"/>
    <col min="13" max="13" width="28.7109375" style="44" hidden="1" customWidth="1"/>
    <col min="14" max="14" width="37.28515625" style="44" hidden="1" customWidth="1"/>
    <col min="15" max="15" width="14.7109375" style="48" bestFit="1" customWidth="1"/>
    <col min="16" max="16" width="2.140625" style="51" customWidth="1"/>
    <col min="17" max="17" width="15.42578125" bestFit="1" customWidth="1"/>
    <col min="18" max="18" width="15.42578125" customWidth="1"/>
    <col min="19" max="19" width="16.28515625" bestFit="1" customWidth="1"/>
    <col min="20" max="20" width="14.5703125" bestFit="1" customWidth="1"/>
    <col min="21" max="21" width="12.7109375" bestFit="1" customWidth="1"/>
    <col min="22" max="22" width="7.42578125" customWidth="1"/>
    <col min="23" max="23" width="4" customWidth="1"/>
    <col min="25" max="25" width="20.5703125" customWidth="1"/>
    <col min="26" max="29" width="12.42578125" bestFit="1" customWidth="1"/>
  </cols>
  <sheetData>
    <row r="1" spans="1:29" ht="36" x14ac:dyDescent="0.55000000000000004">
      <c r="A1" s="1" t="s">
        <v>0</v>
      </c>
      <c r="B1" s="2"/>
      <c r="C1" s="3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67">
        <v>5</v>
      </c>
    </row>
    <row r="2" spans="1:29" ht="21" x14ac:dyDescent="0.35">
      <c r="A2" s="1" t="s">
        <v>1</v>
      </c>
      <c r="B2" s="2"/>
      <c r="C2" s="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  <c r="R2" s="2"/>
      <c r="S2" s="2"/>
    </row>
    <row r="3" spans="1:29" ht="21" x14ac:dyDescent="0.35">
      <c r="A3" s="1" t="s">
        <v>2</v>
      </c>
      <c r="B3" s="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</row>
    <row r="4" spans="1:29" ht="21" x14ac:dyDescent="0.35">
      <c r="A4" s="1" t="s">
        <v>3</v>
      </c>
      <c r="B4" s="2"/>
      <c r="C4" s="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</row>
    <row r="5" spans="1:29" ht="21" x14ac:dyDescent="0.35">
      <c r="A5" s="1"/>
      <c r="B5" s="2" t="s">
        <v>155</v>
      </c>
      <c r="C5" s="3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</row>
    <row r="6" spans="1:29" s="5" customFormat="1" x14ac:dyDescent="0.25">
      <c r="A6" s="4"/>
      <c r="C6" s="6">
        <v>44743</v>
      </c>
      <c r="D6" s="6">
        <v>44774</v>
      </c>
      <c r="E6" s="6">
        <v>44805</v>
      </c>
      <c r="F6" s="6">
        <v>44835</v>
      </c>
      <c r="G6" s="6">
        <v>44866</v>
      </c>
      <c r="H6" s="6">
        <v>44896</v>
      </c>
      <c r="I6" s="6">
        <v>44927</v>
      </c>
      <c r="J6" s="6">
        <v>44958</v>
      </c>
      <c r="K6" s="6">
        <v>44986</v>
      </c>
      <c r="L6" s="6">
        <v>45017</v>
      </c>
      <c r="M6" s="6">
        <v>45047</v>
      </c>
      <c r="N6" s="6">
        <v>45078</v>
      </c>
      <c r="O6" s="7"/>
      <c r="P6" s="8"/>
    </row>
    <row r="7" spans="1:29" s="10" customFormat="1" ht="15.75" x14ac:dyDescent="0.25">
      <c r="A7" s="9"/>
      <c r="C7" s="65" t="s">
        <v>4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11"/>
      <c r="P7" s="12"/>
    </row>
    <row r="8" spans="1:29" s="10" customFormat="1" ht="31.5" x14ac:dyDescent="0.25">
      <c r="A8" s="13"/>
      <c r="C8" s="14">
        <v>44743</v>
      </c>
      <c r="D8" s="14">
        <v>44774</v>
      </c>
      <c r="E8" s="14">
        <v>44805</v>
      </c>
      <c r="F8" s="14">
        <v>44835</v>
      </c>
      <c r="G8" s="14">
        <v>44866</v>
      </c>
      <c r="H8" s="14">
        <v>44896</v>
      </c>
      <c r="I8" s="14">
        <v>44927</v>
      </c>
      <c r="J8" s="14">
        <v>44958</v>
      </c>
      <c r="K8" s="14">
        <v>44986</v>
      </c>
      <c r="L8" s="14">
        <v>45017</v>
      </c>
      <c r="M8" s="14">
        <v>45047</v>
      </c>
      <c r="N8" s="14">
        <v>45078</v>
      </c>
      <c r="O8" s="15" t="s">
        <v>5</v>
      </c>
      <c r="P8" s="12"/>
      <c r="Q8" s="16" t="s">
        <v>6</v>
      </c>
      <c r="R8" s="16" t="s">
        <v>7</v>
      </c>
      <c r="S8" s="16" t="s">
        <v>8</v>
      </c>
    </row>
    <row r="9" spans="1:29" s="18" customFormat="1" ht="15.75" x14ac:dyDescent="0.25">
      <c r="A9" s="17"/>
      <c r="B9" s="18" t="s">
        <v>9</v>
      </c>
      <c r="C9" s="18">
        <v>2082379.1399999992</v>
      </c>
      <c r="D9" s="18">
        <f t="shared" ref="D9:N9" ca="1" si="0">IF(TODAY()&gt;=D6,C71,0)</f>
        <v>1961483.0899999992</v>
      </c>
      <c r="E9" s="18">
        <f t="shared" ca="1" si="0"/>
        <v>1791676.8099999991</v>
      </c>
      <c r="F9" s="18">
        <f t="shared" ca="1" si="0"/>
        <v>1600234.1399999992</v>
      </c>
      <c r="G9" s="18">
        <f t="shared" ca="1" si="0"/>
        <v>1485352.1799999992</v>
      </c>
      <c r="H9" s="18">
        <f t="shared" ca="1" si="0"/>
        <v>1550435.2199999993</v>
      </c>
      <c r="I9" s="18">
        <f t="shared" ca="1" si="0"/>
        <v>2252212.3899999997</v>
      </c>
      <c r="J9" s="18">
        <f t="shared" ca="1" si="0"/>
        <v>2263610.9999999995</v>
      </c>
      <c r="K9" s="18">
        <f t="shared" ca="1" si="0"/>
        <v>2198410.0999999996</v>
      </c>
      <c r="L9" s="18">
        <f t="shared" ca="1" si="0"/>
        <v>2316927.5399999996</v>
      </c>
      <c r="M9" s="18">
        <f t="shared" ca="1" si="0"/>
        <v>2207009.7299999995</v>
      </c>
      <c r="N9" s="18">
        <f t="shared" ca="1" si="0"/>
        <v>1872486.8390554995</v>
      </c>
      <c r="P9" s="19"/>
      <c r="Q9" s="18">
        <f>+O71</f>
        <v>1754990.6214954995</v>
      </c>
      <c r="R9" s="18">
        <f>+Q71</f>
        <v>1967470.8870359494</v>
      </c>
      <c r="S9" s="18">
        <f>+R71</f>
        <v>2121981.0857299999</v>
      </c>
    </row>
    <row r="10" spans="1:29" s="10" customFormat="1" ht="15.75" x14ac:dyDescent="0.25">
      <c r="A10" s="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18"/>
      <c r="P10" s="12"/>
      <c r="X10" s="10" t="s">
        <v>10</v>
      </c>
    </row>
    <row r="11" spans="1:29" s="10" customFormat="1" ht="15.75" x14ac:dyDescent="0.25">
      <c r="A11" s="21" t="s">
        <v>11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8"/>
      <c r="P11" s="12"/>
      <c r="AA11" s="22" t="s">
        <v>12</v>
      </c>
    </row>
    <row r="12" spans="1:29" s="10" customFormat="1" ht="15.75" x14ac:dyDescent="0.25">
      <c r="A12" s="23" t="s">
        <v>13</v>
      </c>
      <c r="B12" s="10" t="s">
        <v>14</v>
      </c>
      <c r="C12" s="20">
        <v>19200</v>
      </c>
      <c r="D12" s="20">
        <v>11520</v>
      </c>
      <c r="E12" s="20">
        <v>10560</v>
      </c>
      <c r="F12" s="20">
        <v>11360</v>
      </c>
      <c r="G12" s="20">
        <v>185120</v>
      </c>
      <c r="H12" s="20">
        <v>812640</v>
      </c>
      <c r="I12" s="20">
        <v>180960</v>
      </c>
      <c r="J12" s="20">
        <v>92800</v>
      </c>
      <c r="K12" s="20">
        <v>291040</v>
      </c>
      <c r="L12" s="20">
        <v>41600</v>
      </c>
      <c r="M12" s="20">
        <v>36000</v>
      </c>
      <c r="N12" s="24">
        <v>34080</v>
      </c>
      <c r="O12" s="18">
        <f>SUM(C12:N12)</f>
        <v>1726880</v>
      </c>
      <c r="P12" s="12"/>
      <c r="Q12" s="25">
        <f>215*11459</f>
        <v>2463685</v>
      </c>
      <c r="R12" s="25">
        <f>215*11459</f>
        <v>2463685</v>
      </c>
      <c r="S12" s="25">
        <f>215*11459</f>
        <v>2463685</v>
      </c>
      <c r="T12" s="10" t="s">
        <v>15</v>
      </c>
      <c r="X12" s="36"/>
      <c r="Y12" s="10" t="s">
        <v>16</v>
      </c>
      <c r="Z12" s="22">
        <v>2023</v>
      </c>
      <c r="AA12" s="22">
        <v>2024</v>
      </c>
      <c r="AB12" s="22">
        <v>2025</v>
      </c>
      <c r="AC12" s="22">
        <v>2026</v>
      </c>
    </row>
    <row r="13" spans="1:29" s="10" customFormat="1" ht="15.75" x14ac:dyDescent="0.25">
      <c r="A13" s="26" t="s">
        <v>17</v>
      </c>
      <c r="B13" s="10" t="s">
        <v>18</v>
      </c>
      <c r="C13" s="20">
        <v>8320</v>
      </c>
      <c r="D13" s="20">
        <v>5420</v>
      </c>
      <c r="E13" s="20">
        <v>4240.0200000000004</v>
      </c>
      <c r="F13" s="20">
        <v>6970</v>
      </c>
      <c r="G13" s="20">
        <v>17440</v>
      </c>
      <c r="H13" s="20">
        <v>35030</v>
      </c>
      <c r="I13" s="20">
        <v>19980</v>
      </c>
      <c r="J13" s="20">
        <v>10675</v>
      </c>
      <c r="K13" s="20">
        <v>12680.01</v>
      </c>
      <c r="L13" s="20">
        <v>13345</v>
      </c>
      <c r="M13" s="20">
        <v>10640</v>
      </c>
      <c r="N13" s="24">
        <v>7450</v>
      </c>
      <c r="O13" s="18">
        <f t="shared" ref="O13:O31" si="1">SUM(C13:N13)</f>
        <v>152190.03</v>
      </c>
      <c r="P13" s="12"/>
      <c r="Q13" s="25">
        <v>155000</v>
      </c>
      <c r="R13" s="25">
        <v>155000</v>
      </c>
      <c r="S13" s="25">
        <v>155000</v>
      </c>
      <c r="T13" s="10" t="s">
        <v>19</v>
      </c>
      <c r="X13" s="36">
        <v>4003</v>
      </c>
      <c r="Y13" s="10" t="s">
        <v>20</v>
      </c>
      <c r="Z13" s="27">
        <v>35000</v>
      </c>
      <c r="AA13" s="27">
        <v>35000</v>
      </c>
      <c r="AB13" s="27">
        <v>35000</v>
      </c>
      <c r="AC13" s="27">
        <v>35000</v>
      </c>
    </row>
    <row r="14" spans="1:29" s="10" customFormat="1" ht="15.75" hidden="1" x14ac:dyDescent="0.25">
      <c r="A14" s="26">
        <v>1959</v>
      </c>
      <c r="B14" s="10" t="s">
        <v>21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18">
        <f t="shared" si="1"/>
        <v>0</v>
      </c>
      <c r="P14" s="12"/>
      <c r="Q14" s="28"/>
      <c r="R14" s="28"/>
      <c r="S14" s="28"/>
      <c r="X14" s="36"/>
      <c r="AA14" s="27"/>
      <c r="AB14" s="27"/>
      <c r="AC14" s="27"/>
    </row>
    <row r="15" spans="1:29" s="10" customFormat="1" ht="15.75" hidden="1" x14ac:dyDescent="0.25">
      <c r="A15" s="26">
        <v>2206</v>
      </c>
      <c r="B15" s="10" t="s">
        <v>22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18">
        <f t="shared" si="1"/>
        <v>0</v>
      </c>
      <c r="P15" s="12"/>
      <c r="Q15" s="28"/>
      <c r="R15" s="28"/>
      <c r="S15" s="28"/>
      <c r="X15" s="36"/>
      <c r="AA15" s="27"/>
      <c r="AB15" s="27"/>
      <c r="AC15" s="27"/>
    </row>
    <row r="16" spans="1:29" s="10" customFormat="1" ht="15.75" hidden="1" x14ac:dyDescent="0.25">
      <c r="A16" s="26">
        <v>2631</v>
      </c>
      <c r="B16" s="10" t="s">
        <v>23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18">
        <f t="shared" si="1"/>
        <v>0</v>
      </c>
      <c r="P16" s="12"/>
      <c r="Q16" s="28"/>
      <c r="R16" s="28"/>
      <c r="S16" s="28"/>
      <c r="X16" s="36"/>
      <c r="AA16" s="27"/>
      <c r="AB16" s="27"/>
      <c r="AC16" s="27"/>
    </row>
    <row r="17" spans="1:29" s="10" customFormat="1" ht="15.75" hidden="1" x14ac:dyDescent="0.25">
      <c r="A17" s="26" t="s">
        <v>24</v>
      </c>
      <c r="B17" s="10" t="s">
        <v>25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18">
        <f t="shared" si="1"/>
        <v>0</v>
      </c>
      <c r="P17" s="12"/>
      <c r="Q17" s="28"/>
      <c r="R17" s="28"/>
      <c r="S17" s="28"/>
      <c r="X17" s="36"/>
      <c r="AA17" s="27"/>
      <c r="AB17" s="27"/>
      <c r="AC17" s="27"/>
    </row>
    <row r="18" spans="1:29" s="10" customFormat="1" ht="15.75" hidden="1" x14ac:dyDescent="0.25">
      <c r="A18" s="26">
        <v>2651</v>
      </c>
      <c r="B18" s="10" t="s">
        <v>26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18">
        <f t="shared" si="1"/>
        <v>0</v>
      </c>
      <c r="P18" s="12"/>
      <c r="Q18" s="28"/>
      <c r="R18" s="28"/>
      <c r="S18" s="28"/>
      <c r="X18" s="36"/>
      <c r="AA18" s="27"/>
      <c r="AB18" s="27"/>
      <c r="AC18" s="27"/>
    </row>
    <row r="19" spans="1:29" s="10" customFormat="1" ht="15.75" hidden="1" x14ac:dyDescent="0.25">
      <c r="A19" s="26">
        <v>2669</v>
      </c>
      <c r="B19" s="10" t="s">
        <v>27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18">
        <f t="shared" si="1"/>
        <v>0</v>
      </c>
      <c r="P19" s="12"/>
      <c r="Q19" s="28"/>
      <c r="R19" s="28"/>
      <c r="S19" s="28"/>
      <c r="X19" s="36"/>
      <c r="AA19" s="27"/>
      <c r="AB19" s="27"/>
      <c r="AC19" s="27"/>
    </row>
    <row r="20" spans="1:29" s="10" customFormat="1" ht="15.75" hidden="1" x14ac:dyDescent="0.25">
      <c r="A20" s="26" t="s">
        <v>28</v>
      </c>
      <c r="B20" s="10" t="s">
        <v>29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18">
        <f t="shared" si="1"/>
        <v>0</v>
      </c>
      <c r="P20" s="12"/>
      <c r="Q20" s="28"/>
      <c r="R20" s="28"/>
      <c r="S20" s="28"/>
      <c r="X20" s="36"/>
      <c r="AA20" s="27"/>
      <c r="AB20" s="27"/>
      <c r="AC20" s="27"/>
    </row>
    <row r="21" spans="1:29" s="10" customFormat="1" ht="15.75" hidden="1" x14ac:dyDescent="0.25">
      <c r="A21" s="26">
        <v>2681</v>
      </c>
      <c r="B21" s="10" t="s">
        <v>30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18">
        <f t="shared" si="1"/>
        <v>0</v>
      </c>
      <c r="P21" s="12"/>
      <c r="Q21" s="28"/>
      <c r="R21" s="28"/>
      <c r="S21" s="28"/>
      <c r="X21" s="36"/>
      <c r="AA21" s="27"/>
      <c r="AB21" s="27"/>
      <c r="AC21" s="27"/>
    </row>
    <row r="22" spans="1:29" s="10" customFormat="1" ht="15.75" hidden="1" x14ac:dyDescent="0.25">
      <c r="A22" s="26" t="s">
        <v>31</v>
      </c>
      <c r="B22" s="10" t="s">
        <v>32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18">
        <f t="shared" si="1"/>
        <v>0</v>
      </c>
      <c r="P22" s="12"/>
      <c r="Q22" s="28"/>
      <c r="R22" s="28"/>
      <c r="S22" s="28"/>
      <c r="X22" s="36"/>
      <c r="AA22" s="27"/>
      <c r="AB22" s="27"/>
      <c r="AC22" s="27"/>
    </row>
    <row r="23" spans="1:29" s="10" customFormat="1" ht="15.75" x14ac:dyDescent="0.25">
      <c r="A23" s="26">
        <v>2690</v>
      </c>
      <c r="B23" s="10" t="s">
        <v>33</v>
      </c>
      <c r="C23" s="20">
        <v>0</v>
      </c>
      <c r="D23" s="20">
        <v>0</v>
      </c>
      <c r="E23" s="20">
        <v>0</v>
      </c>
      <c r="F23" s="20">
        <v>100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18">
        <f t="shared" si="1"/>
        <v>100</v>
      </c>
      <c r="P23" s="12"/>
      <c r="Q23" s="28"/>
      <c r="R23" s="28"/>
      <c r="S23" s="28"/>
      <c r="X23" s="36" t="s">
        <v>153</v>
      </c>
      <c r="Y23" s="10" t="s">
        <v>34</v>
      </c>
      <c r="Z23" s="27">
        <v>10310.4</v>
      </c>
      <c r="AA23" s="27">
        <v>11000</v>
      </c>
      <c r="AB23" s="27">
        <v>11000</v>
      </c>
      <c r="AC23" s="27">
        <v>11000</v>
      </c>
    </row>
    <row r="24" spans="1:29" s="10" customFormat="1" ht="15.75" hidden="1" x14ac:dyDescent="0.25">
      <c r="A24" s="26" t="s">
        <v>35</v>
      </c>
      <c r="B24" s="10" t="s">
        <v>36</v>
      </c>
      <c r="C24" s="20">
        <v>0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18">
        <f t="shared" si="1"/>
        <v>0</v>
      </c>
      <c r="P24" s="12"/>
      <c r="Q24" s="28"/>
      <c r="R24" s="28"/>
      <c r="S24" s="28"/>
      <c r="X24" s="36"/>
      <c r="AA24" s="29"/>
      <c r="AB24" s="29"/>
      <c r="AC24" s="29"/>
    </row>
    <row r="25" spans="1:29" s="10" customFormat="1" ht="15.75" hidden="1" x14ac:dyDescent="0.25">
      <c r="A25" s="26" t="s">
        <v>37</v>
      </c>
      <c r="B25" s="10" t="s">
        <v>38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18">
        <f t="shared" si="1"/>
        <v>0</v>
      </c>
      <c r="P25" s="12"/>
      <c r="Q25" s="28"/>
      <c r="R25" s="28"/>
      <c r="S25" s="28"/>
      <c r="X25" s="36"/>
      <c r="AA25" s="29"/>
      <c r="AB25" s="29"/>
      <c r="AC25" s="29"/>
    </row>
    <row r="26" spans="1:29" s="10" customFormat="1" ht="15.75" x14ac:dyDescent="0.25">
      <c r="A26" s="26" t="s">
        <v>39</v>
      </c>
      <c r="B26" s="10" t="s">
        <v>40</v>
      </c>
      <c r="C26" s="20">
        <v>185.12</v>
      </c>
      <c r="D26" s="20">
        <v>0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18">
        <f t="shared" si="1"/>
        <v>185.12</v>
      </c>
      <c r="P26" s="12"/>
      <c r="Q26" s="28"/>
      <c r="R26" s="28"/>
      <c r="S26" s="28"/>
      <c r="X26" s="36" t="s">
        <v>41</v>
      </c>
      <c r="Y26" s="10" t="s">
        <v>42</v>
      </c>
      <c r="Z26" s="27">
        <v>25000</v>
      </c>
      <c r="AA26" s="27" t="s">
        <v>43</v>
      </c>
      <c r="AB26" s="27" t="s">
        <v>43</v>
      </c>
      <c r="AC26" s="27" t="s">
        <v>43</v>
      </c>
    </row>
    <row r="27" spans="1:29" s="10" customFormat="1" ht="15.75" hidden="1" x14ac:dyDescent="0.25">
      <c r="A27" s="26">
        <v>2955</v>
      </c>
      <c r="B27" s="10" t="s">
        <v>44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18">
        <f t="shared" si="1"/>
        <v>0</v>
      </c>
      <c r="P27" s="12"/>
      <c r="Q27" s="28"/>
      <c r="R27" s="28"/>
      <c r="S27" s="28"/>
      <c r="X27" s="36"/>
      <c r="Z27" s="27"/>
      <c r="AA27" s="27"/>
      <c r="AB27" s="27"/>
      <c r="AC27" s="27"/>
    </row>
    <row r="28" spans="1:29" s="10" customFormat="1" ht="15.75" x14ac:dyDescent="0.25">
      <c r="A28" s="26" t="s">
        <v>45</v>
      </c>
      <c r="B28" s="10" t="s">
        <v>46</v>
      </c>
      <c r="C28" s="20">
        <v>0</v>
      </c>
      <c r="D28" s="20">
        <v>0</v>
      </c>
      <c r="E28" s="20">
        <v>0</v>
      </c>
      <c r="F28" s="20">
        <v>0</v>
      </c>
      <c r="G28" s="20">
        <v>-25000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18">
        <f t="shared" si="1"/>
        <v>-25000</v>
      </c>
      <c r="P28" s="12"/>
      <c r="Q28" s="28">
        <v>-25000</v>
      </c>
      <c r="R28" s="28">
        <v>0</v>
      </c>
      <c r="S28" s="28">
        <v>0</v>
      </c>
      <c r="T28" s="10" t="s">
        <v>47</v>
      </c>
      <c r="X28" s="36">
        <v>4003</v>
      </c>
      <c r="Y28" s="10" t="s">
        <v>116</v>
      </c>
      <c r="Z28" s="27">
        <v>6432</v>
      </c>
      <c r="AA28" s="27">
        <v>6500</v>
      </c>
      <c r="AB28" s="27">
        <v>6500</v>
      </c>
      <c r="AC28" s="27">
        <v>6500</v>
      </c>
    </row>
    <row r="29" spans="1:29" s="10" customFormat="1" ht="15.75" x14ac:dyDescent="0.25">
      <c r="A29" s="26" t="s">
        <v>48</v>
      </c>
      <c r="B29" s="10" t="s">
        <v>49</v>
      </c>
      <c r="C29" s="20">
        <v>-20232.629999999997</v>
      </c>
      <c r="D29" s="20">
        <v>-18120.059999999998</v>
      </c>
      <c r="E29" s="20">
        <v>-23805.510000000002</v>
      </c>
      <c r="F29" s="20">
        <v>-25752.190000000002</v>
      </c>
      <c r="G29" s="20">
        <v>-15182.77</v>
      </c>
      <c r="H29" s="20">
        <v>-13736.529999999999</v>
      </c>
      <c r="I29" s="20">
        <v>-18652.64</v>
      </c>
      <c r="J29" s="20">
        <v>-24122.07</v>
      </c>
      <c r="K29" s="20">
        <v>-20404.72</v>
      </c>
      <c r="L29" s="20">
        <v>-22354.38</v>
      </c>
      <c r="M29" s="20">
        <v>-20116</v>
      </c>
      <c r="N29" s="20">
        <f>SUM(M43:M60)*-0.15</f>
        <v>-22732.819499999994</v>
      </c>
      <c r="O29" s="18">
        <f t="shared" si="1"/>
        <v>-245212.31950000001</v>
      </c>
      <c r="P29" s="12"/>
      <c r="Q29" s="28">
        <f>SUM(Q43:Q60)*-0.15</f>
        <v>-272080.12724999996</v>
      </c>
      <c r="R29" s="28">
        <f t="shared" ref="R29:S29" si="2">SUM(R43:R60)*-0.15</f>
        <v>-282460.29524999997</v>
      </c>
      <c r="S29" s="28">
        <f t="shared" si="2"/>
        <v>-289804.85942999995</v>
      </c>
      <c r="T29" s="10" t="s">
        <v>50</v>
      </c>
      <c r="X29" s="36" t="s">
        <v>153</v>
      </c>
      <c r="Y29" s="10" t="s">
        <v>51</v>
      </c>
      <c r="Z29" s="27"/>
      <c r="AA29" s="27">
        <v>14621</v>
      </c>
      <c r="AB29" s="27">
        <v>14621</v>
      </c>
      <c r="AC29" s="27">
        <v>14621</v>
      </c>
    </row>
    <row r="30" spans="1:29" s="10" customFormat="1" ht="15.75" x14ac:dyDescent="0.25">
      <c r="A30" s="26" t="s">
        <v>52</v>
      </c>
      <c r="B30" s="10" t="s">
        <v>53</v>
      </c>
      <c r="C30" s="20">
        <v>0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18">
        <f t="shared" si="1"/>
        <v>0</v>
      </c>
      <c r="P30" s="12"/>
      <c r="Q30" s="28"/>
      <c r="R30" s="28"/>
      <c r="S30" s="28"/>
      <c r="X30" s="36" t="s">
        <v>41</v>
      </c>
      <c r="Y30" s="10" t="s">
        <v>54</v>
      </c>
      <c r="Z30" s="27">
        <v>65000</v>
      </c>
      <c r="AA30" s="27">
        <v>65000</v>
      </c>
      <c r="AB30" s="27">
        <v>65000</v>
      </c>
      <c r="AC30" s="27">
        <v>65000</v>
      </c>
    </row>
    <row r="31" spans="1:29" s="10" customFormat="1" ht="15.75" x14ac:dyDescent="0.25">
      <c r="A31" s="26" t="s">
        <v>55</v>
      </c>
      <c r="B31" s="10" t="s">
        <v>56</v>
      </c>
      <c r="C31" s="20">
        <v>0</v>
      </c>
      <c r="D31" s="20">
        <v>0</v>
      </c>
      <c r="E31" s="20">
        <v>0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-200000</v>
      </c>
      <c r="N31" s="20">
        <v>0</v>
      </c>
      <c r="O31" s="18">
        <f t="shared" si="1"/>
        <v>-200000</v>
      </c>
      <c r="P31" s="12"/>
      <c r="Q31" s="28">
        <v>-200000</v>
      </c>
      <c r="R31" s="28">
        <v>-200000</v>
      </c>
      <c r="S31" s="28">
        <v>-200000</v>
      </c>
      <c r="T31" s="10" t="s">
        <v>152</v>
      </c>
      <c r="X31" s="36" t="s">
        <v>41</v>
      </c>
      <c r="Y31" s="10" t="s">
        <v>57</v>
      </c>
      <c r="Z31" s="27">
        <v>135000</v>
      </c>
      <c r="AA31" s="27">
        <v>135000</v>
      </c>
      <c r="AB31" s="27">
        <v>135000</v>
      </c>
      <c r="AC31" s="27">
        <v>135000</v>
      </c>
    </row>
    <row r="32" spans="1:29" s="33" customFormat="1" ht="16.5" thickBot="1" x14ac:dyDescent="0.3">
      <c r="A32" s="23"/>
      <c r="B32" s="30" t="s">
        <v>58</v>
      </c>
      <c r="C32" s="31">
        <f t="shared" ref="C32:O32" si="3">SUM(C12:C31)</f>
        <v>7472.4900000000016</v>
      </c>
      <c r="D32" s="31">
        <f t="shared" si="3"/>
        <v>-1180.0599999999977</v>
      </c>
      <c r="E32" s="31">
        <f t="shared" si="3"/>
        <v>-9005.4900000000016</v>
      </c>
      <c r="F32" s="31">
        <f t="shared" si="3"/>
        <v>-7322.1900000000023</v>
      </c>
      <c r="G32" s="31">
        <f t="shared" si="3"/>
        <v>162377.23000000001</v>
      </c>
      <c r="H32" s="31">
        <f t="shared" si="3"/>
        <v>833933.47</v>
      </c>
      <c r="I32" s="31">
        <f t="shared" si="3"/>
        <v>182287.35999999999</v>
      </c>
      <c r="J32" s="31">
        <f t="shared" si="3"/>
        <v>79352.929999999993</v>
      </c>
      <c r="K32" s="31">
        <f t="shared" si="3"/>
        <v>283315.29000000004</v>
      </c>
      <c r="L32" s="31">
        <f t="shared" si="3"/>
        <v>32590.62</v>
      </c>
      <c r="M32" s="31">
        <f t="shared" si="3"/>
        <v>-173476</v>
      </c>
      <c r="N32" s="31">
        <f t="shared" si="3"/>
        <v>18797.180500000006</v>
      </c>
      <c r="O32" s="31">
        <f t="shared" si="3"/>
        <v>1409142.8305000002</v>
      </c>
      <c r="P32" s="32"/>
      <c r="Q32" s="31">
        <f t="shared" ref="Q32:S32" si="4">SUM(Q12:Q31)</f>
        <v>2121604.8727500001</v>
      </c>
      <c r="R32" s="31">
        <f t="shared" si="4"/>
        <v>2136224.70475</v>
      </c>
      <c r="S32" s="31">
        <f t="shared" si="4"/>
        <v>2128880.1405699998</v>
      </c>
      <c r="X32" s="66"/>
      <c r="Y32" s="10" t="s">
        <v>59</v>
      </c>
      <c r="Z32" s="34"/>
      <c r="AA32" s="27">
        <v>300000</v>
      </c>
      <c r="AB32" s="34"/>
      <c r="AC32" s="34"/>
    </row>
    <row r="33" spans="1:29" s="10" customFormat="1" ht="15.75" x14ac:dyDescent="0.25">
      <c r="A33" s="9"/>
      <c r="B33" s="64" t="s">
        <v>151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18">
        <f>O75</f>
        <v>-327388.51850449969</v>
      </c>
      <c r="P33" s="18">
        <f t="shared" ref="P33:S33" si="5">P75</f>
        <v>0</v>
      </c>
      <c r="Q33" s="18">
        <f t="shared" si="5"/>
        <v>212480.26554045011</v>
      </c>
      <c r="R33" s="18">
        <f t="shared" si="5"/>
        <v>154510.19869405031</v>
      </c>
      <c r="S33" s="18">
        <f t="shared" si="5"/>
        <v>95804.117928086082</v>
      </c>
      <c r="Z33" s="29"/>
      <c r="AA33" s="29"/>
      <c r="AB33" s="29"/>
      <c r="AC33" s="29"/>
    </row>
    <row r="34" spans="1:29" s="10" customFormat="1" ht="15.75" x14ac:dyDescent="0.25">
      <c r="A34" s="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8"/>
      <c r="P34" s="12"/>
    </row>
    <row r="35" spans="1:29" s="10" customFormat="1" ht="15.75" x14ac:dyDescent="0.25">
      <c r="A35" s="35" t="s">
        <v>60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18"/>
      <c r="P35" s="12"/>
    </row>
    <row r="36" spans="1:29" s="10" customFormat="1" ht="15.75" hidden="1" x14ac:dyDescent="0.25">
      <c r="A36" s="26" t="s">
        <v>61</v>
      </c>
      <c r="B36" s="36" t="s">
        <v>62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0</v>
      </c>
      <c r="L36" s="20">
        <v>0</v>
      </c>
      <c r="M36" s="20">
        <v>0</v>
      </c>
      <c r="N36" s="20">
        <f>IFERROR(GETPIVOTDATA("[Measures].[Jrnl Posting Am]",'[1]Historical Summary Cube'!$AA$73,"[Object].[Object Group]","[Object].[Object Group].&amp;[31]","[Object].[Obj Group Nm]","[Object].[Obj Group Nm].&amp;[SALARIES AND WAGES]","[Accounting Period].[Fisc Period]","[Accounting Period].[Fisc Period].&amp;[12]"),0)</f>
        <v>0</v>
      </c>
      <c r="O36" s="18">
        <f>SUM(C36:N36)</f>
        <v>0</v>
      </c>
      <c r="P36" s="12"/>
    </row>
    <row r="37" spans="1:29" s="10" customFormat="1" ht="15.75" hidden="1" x14ac:dyDescent="0.25">
      <c r="A37" s="26" t="s">
        <v>63</v>
      </c>
      <c r="B37" s="36" t="s">
        <v>62</v>
      </c>
      <c r="C37" s="20">
        <v>59625.229999999996</v>
      </c>
      <c r="D37" s="20">
        <v>95865.989999999991</v>
      </c>
      <c r="E37" s="20">
        <v>72288.460000000006</v>
      </c>
      <c r="F37" s="20">
        <v>58440.4</v>
      </c>
      <c r="G37" s="20">
        <v>58587.259999999995</v>
      </c>
      <c r="H37" s="20">
        <v>60690.39</v>
      </c>
      <c r="I37" s="20">
        <v>94190.37000000001</v>
      </c>
      <c r="J37" s="20">
        <v>62793.58</v>
      </c>
      <c r="K37" s="20">
        <v>63183.189999999988</v>
      </c>
      <c r="L37" s="20">
        <v>60556</v>
      </c>
      <c r="M37" s="20">
        <v>57676.079999999994</v>
      </c>
      <c r="N37" s="20">
        <v>57342.28</v>
      </c>
      <c r="O37" s="18">
        <f t="shared" ref="O37:O68" si="6">SUM(C37:N37)</f>
        <v>801239.23</v>
      </c>
      <c r="P37" s="12"/>
    </row>
    <row r="38" spans="1:29" s="10" customFormat="1" ht="15.75" hidden="1" x14ac:dyDescent="0.25">
      <c r="A38" s="26">
        <v>33</v>
      </c>
      <c r="B38" s="36" t="s">
        <v>62</v>
      </c>
      <c r="C38" s="20">
        <v>7032.7999999999993</v>
      </c>
      <c r="D38" s="20">
        <v>10500.32</v>
      </c>
      <c r="E38" s="20">
        <v>7196.3399999999992</v>
      </c>
      <c r="F38" s="20">
        <v>7003.99</v>
      </c>
      <c r="G38" s="20">
        <v>7317.33</v>
      </c>
      <c r="H38" s="20">
        <v>3700</v>
      </c>
      <c r="I38" s="20">
        <v>0</v>
      </c>
      <c r="J38" s="20">
        <v>789.2</v>
      </c>
      <c r="K38" s="20">
        <v>6841.52</v>
      </c>
      <c r="L38" s="20">
        <v>6853.33</v>
      </c>
      <c r="M38" s="20">
        <v>6936</v>
      </c>
      <c r="N38" s="20">
        <v>6936</v>
      </c>
      <c r="O38" s="18">
        <f t="shared" si="6"/>
        <v>71106.83</v>
      </c>
      <c r="P38" s="12"/>
    </row>
    <row r="39" spans="1:29" s="10" customFormat="1" ht="15.75" hidden="1" x14ac:dyDescent="0.25">
      <c r="A39" s="26" t="s">
        <v>64</v>
      </c>
      <c r="B39" s="36" t="s">
        <v>62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20">
        <v>0</v>
      </c>
      <c r="J39" s="20">
        <v>0</v>
      </c>
      <c r="K39" s="20">
        <v>0</v>
      </c>
      <c r="L39" s="20">
        <v>0</v>
      </c>
      <c r="M39" s="20">
        <v>0</v>
      </c>
      <c r="N39" s="20">
        <f>IFERROR(GETPIVOTDATA("[Measures].[Jrnl Posting Am]",'[1]Historical Summary Cube'!$AA$73,"[Object].[Object Group]","[Object].[Object Group].&amp;[34]","[Object].[Obj Group Nm]","[Object].[Obj Group Nm].&amp;[SALARIES AND WAGES]","[Accounting Period].[Fisc Period]","[Accounting Period].[Fisc Period].&amp;[12]"),0)</f>
        <v>0</v>
      </c>
      <c r="O39" s="18">
        <f>SUM(C39:N39)</f>
        <v>0</v>
      </c>
      <c r="P39" s="12"/>
    </row>
    <row r="40" spans="1:29" s="10" customFormat="1" ht="15.75" hidden="1" x14ac:dyDescent="0.25">
      <c r="A40" s="26" t="s">
        <v>65</v>
      </c>
      <c r="B40" s="36" t="s">
        <v>62</v>
      </c>
      <c r="C40" s="20">
        <v>672.7</v>
      </c>
      <c r="D40" s="20">
        <v>1729.8600000000001</v>
      </c>
      <c r="E40" s="20">
        <v>5646.5099999999993</v>
      </c>
      <c r="F40" s="20">
        <v>1216.1400000000001</v>
      </c>
      <c r="G40" s="20">
        <v>799.19</v>
      </c>
      <c r="H40" s="20">
        <v>597.72</v>
      </c>
      <c r="I40" s="20">
        <v>896.58</v>
      </c>
      <c r="J40" s="20">
        <v>597.72</v>
      </c>
      <c r="K40" s="20">
        <v>692.2</v>
      </c>
      <c r="L40" s="20">
        <v>14077.169999999998</v>
      </c>
      <c r="M40" s="20">
        <v>608.1</v>
      </c>
      <c r="N40" s="20">
        <v>801.84</v>
      </c>
      <c r="O40" s="18">
        <f t="shared" si="6"/>
        <v>28335.729999999996</v>
      </c>
      <c r="P40" s="12"/>
    </row>
    <row r="41" spans="1:29" s="10" customFormat="1" ht="15.75" hidden="1" x14ac:dyDescent="0.25">
      <c r="A41" s="26" t="s">
        <v>66</v>
      </c>
      <c r="B41" s="36" t="s">
        <v>62</v>
      </c>
      <c r="C41" s="20">
        <v>110</v>
      </c>
      <c r="D41" s="20">
        <v>709.38</v>
      </c>
      <c r="E41" s="20">
        <v>0</v>
      </c>
      <c r="F41" s="20">
        <v>0</v>
      </c>
      <c r="G41" s="20">
        <v>220</v>
      </c>
      <c r="H41" s="20">
        <v>275</v>
      </c>
      <c r="I41" s="20">
        <v>0</v>
      </c>
      <c r="J41" s="20">
        <v>275</v>
      </c>
      <c r="K41" s="20">
        <v>385</v>
      </c>
      <c r="L41" s="20">
        <v>440</v>
      </c>
      <c r="M41" s="20">
        <v>0</v>
      </c>
      <c r="N41" s="20">
        <v>4269.57</v>
      </c>
      <c r="O41" s="18">
        <f t="shared" si="6"/>
        <v>6683.95</v>
      </c>
      <c r="P41" s="12"/>
    </row>
    <row r="42" spans="1:29" s="10" customFormat="1" ht="15.75" hidden="1" x14ac:dyDescent="0.25">
      <c r="A42" s="26" t="s">
        <v>67</v>
      </c>
      <c r="B42" s="36" t="s">
        <v>68</v>
      </c>
      <c r="C42" s="20">
        <v>38790.1</v>
      </c>
      <c r="D42" s="20">
        <v>37560.19</v>
      </c>
      <c r="E42" s="20">
        <v>26838.399999999998</v>
      </c>
      <c r="F42" s="20">
        <v>23640.640000000007</v>
      </c>
      <c r="G42" s="20">
        <v>23654.87</v>
      </c>
      <c r="H42" s="20">
        <v>38140.570000000007</v>
      </c>
      <c r="I42" s="20">
        <v>56373.280000000006</v>
      </c>
      <c r="J42" s="20">
        <v>37869.310000000005</v>
      </c>
      <c r="K42" s="20">
        <v>32088.300000000003</v>
      </c>
      <c r="L42" s="20">
        <v>44749.89</v>
      </c>
      <c r="M42" s="20">
        <v>37304.130000000005</v>
      </c>
      <c r="N42" s="20">
        <v>38602.43</v>
      </c>
      <c r="O42" s="18">
        <f t="shared" si="6"/>
        <v>435612.11000000004</v>
      </c>
      <c r="P42" s="12"/>
    </row>
    <row r="43" spans="1:29" s="10" customFormat="1" ht="15.75" x14ac:dyDescent="0.25">
      <c r="A43" s="26" t="s">
        <v>69</v>
      </c>
      <c r="B43" s="36" t="s">
        <v>70</v>
      </c>
      <c r="C43" s="20">
        <f>SUM(C36:C42)</f>
        <v>106230.82999999999</v>
      </c>
      <c r="D43" s="20">
        <f t="shared" ref="D43:N43" si="7">SUM(D36:D42)</f>
        <v>146365.74</v>
      </c>
      <c r="E43" s="20">
        <f t="shared" si="7"/>
        <v>111969.70999999999</v>
      </c>
      <c r="F43" s="20">
        <f t="shared" si="7"/>
        <v>90301.170000000013</v>
      </c>
      <c r="G43" s="20">
        <f t="shared" si="7"/>
        <v>90578.65</v>
      </c>
      <c r="H43" s="20">
        <f t="shared" si="7"/>
        <v>103403.68000000001</v>
      </c>
      <c r="I43" s="20">
        <f t="shared" si="7"/>
        <v>151460.23000000001</v>
      </c>
      <c r="J43" s="20">
        <f t="shared" si="7"/>
        <v>102324.81</v>
      </c>
      <c r="K43" s="20">
        <f t="shared" si="7"/>
        <v>103190.20999999999</v>
      </c>
      <c r="L43" s="20">
        <f t="shared" si="7"/>
        <v>126676.39</v>
      </c>
      <c r="M43" s="20">
        <f t="shared" si="7"/>
        <v>102524.31</v>
      </c>
      <c r="N43" s="20">
        <f t="shared" si="7"/>
        <v>107952.12</v>
      </c>
      <c r="O43" s="18">
        <f t="shared" si="6"/>
        <v>1342977.85</v>
      </c>
      <c r="P43" s="12"/>
      <c r="Q43" s="28">
        <f>+[2]Payroll!AT60</f>
        <v>1263449.24</v>
      </c>
      <c r="R43" s="28">
        <f>+[2]Payroll!AV60</f>
        <v>1317719.3599999999</v>
      </c>
      <c r="S43" s="28">
        <f>+[2]Payroll!AX60</f>
        <v>1356780.3711999999</v>
      </c>
      <c r="T43" s="28"/>
      <c r="U43" s="20"/>
    </row>
    <row r="44" spans="1:29" s="10" customFormat="1" ht="15.75" x14ac:dyDescent="0.25">
      <c r="A44" s="26" t="s">
        <v>71</v>
      </c>
      <c r="B44" s="36" t="s">
        <v>72</v>
      </c>
      <c r="C44" s="20">
        <v>3049.6</v>
      </c>
      <c r="D44" s="20">
        <v>6522.7600000000011</v>
      </c>
      <c r="E44" s="20">
        <v>5278.26</v>
      </c>
      <c r="F44" s="20">
        <v>6142.82</v>
      </c>
      <c r="G44" s="20">
        <v>7282.3900000000012</v>
      </c>
      <c r="H44" s="20">
        <v>4149.7700000000004</v>
      </c>
      <c r="I44" s="20">
        <v>5860.14</v>
      </c>
      <c r="J44" s="20">
        <v>6387.4</v>
      </c>
      <c r="K44" s="20">
        <v>5154.9600000000009</v>
      </c>
      <c r="L44" s="20">
        <v>5294.73</v>
      </c>
      <c r="M44" s="20">
        <v>7576.17</v>
      </c>
      <c r="N44" s="20">
        <v>5753.37</v>
      </c>
      <c r="O44" s="18">
        <f t="shared" si="6"/>
        <v>68452.37</v>
      </c>
      <c r="P44" s="12"/>
      <c r="Q44" s="37">
        <f>15000+8014+35000+11000+14621</f>
        <v>83635</v>
      </c>
      <c r="R44" s="37">
        <f>8000+35000+11000+14612</f>
        <v>68612</v>
      </c>
      <c r="S44" s="37">
        <f>8000+35000+11000+14612</f>
        <v>68612</v>
      </c>
      <c r="T44" s="10" t="s">
        <v>73</v>
      </c>
    </row>
    <row r="45" spans="1:29" s="10" customFormat="1" ht="15.75" hidden="1" x14ac:dyDescent="0.25">
      <c r="A45" s="26" t="s">
        <v>74</v>
      </c>
      <c r="B45" s="36" t="s">
        <v>75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f>IFERROR(GETPIVOTDATA("[Measures].[Jrnl Posting Am]",'[1]Historical Summary Cube'!$AA$73,"[Object].[Object Group]","[Object].[Object Group].&amp;[41]","[Object].[Obj Group Nm]","[Object].[Obj Group Nm].&amp;[PROF. SERVICES, BY STATE]","[Accounting Period].[Fisc Period]","[Accounting Period].[Fisc Period].&amp;[12]"),0)</f>
        <v>0</v>
      </c>
      <c r="O45" s="18">
        <f t="shared" si="6"/>
        <v>0</v>
      </c>
      <c r="P45" s="12"/>
      <c r="Q45" s="28"/>
      <c r="R45" s="28"/>
      <c r="S45" s="28"/>
    </row>
    <row r="46" spans="1:29" s="10" customFormat="1" ht="15.75" x14ac:dyDescent="0.25">
      <c r="A46" s="26" t="s">
        <v>76</v>
      </c>
      <c r="B46" s="36" t="s">
        <v>77</v>
      </c>
      <c r="C46" s="20">
        <v>192</v>
      </c>
      <c r="D46" s="20">
        <v>29.55</v>
      </c>
      <c r="E46" s="20">
        <v>47.57</v>
      </c>
      <c r="F46" s="20">
        <v>18.989999999999998</v>
      </c>
      <c r="G46" s="20">
        <v>25.53</v>
      </c>
      <c r="H46" s="20">
        <v>0</v>
      </c>
      <c r="I46" s="20">
        <v>47.27</v>
      </c>
      <c r="J46" s="20">
        <v>503.44</v>
      </c>
      <c r="K46" s="20">
        <v>200.56</v>
      </c>
      <c r="L46" s="20">
        <v>11.3</v>
      </c>
      <c r="M46" s="20">
        <v>30.86</v>
      </c>
      <c r="N46" s="20">
        <f>IFERROR(GETPIVOTDATA("[Measures].[Jrnl Posting Am]",'[1]Historical Summary Cube'!$AA$73,"[Object].[Object Group]","[Object].[Object Group].&amp;[42]","[Object].[Obj Group Nm]","[Object].[Obj Group Nm].&amp;[TRAVEL EXPENSES, IN STATE]","[Accounting Period].[Fisc Period]","[Accounting Period].[Fisc Period].&amp;[12]"),0)</f>
        <v>0</v>
      </c>
      <c r="O46" s="18">
        <f t="shared" si="6"/>
        <v>1107.0699999999997</v>
      </c>
      <c r="P46" s="12"/>
      <c r="Q46" s="28">
        <v>1500</v>
      </c>
      <c r="R46" s="28">
        <v>1500</v>
      </c>
      <c r="S46" s="28">
        <v>1500</v>
      </c>
    </row>
    <row r="47" spans="1:29" s="10" customFormat="1" ht="15.75" x14ac:dyDescent="0.25">
      <c r="A47" s="26" t="s">
        <v>78</v>
      </c>
      <c r="B47" s="36" t="s">
        <v>79</v>
      </c>
      <c r="C47" s="20">
        <v>0</v>
      </c>
      <c r="D47" s="20">
        <v>0</v>
      </c>
      <c r="E47" s="20">
        <v>0</v>
      </c>
      <c r="F47" s="20">
        <v>1644.0100000000002</v>
      </c>
      <c r="G47" s="20">
        <v>828.68000000000006</v>
      </c>
      <c r="H47" s="20">
        <v>104</v>
      </c>
      <c r="I47" s="20">
        <v>0</v>
      </c>
      <c r="J47" s="20">
        <v>-1062.6400000000001</v>
      </c>
      <c r="K47" s="20">
        <v>1753.0299999999997</v>
      </c>
      <c r="L47" s="20">
        <v>0</v>
      </c>
      <c r="M47" s="20">
        <v>1334.6399999999999</v>
      </c>
      <c r="N47" s="20">
        <v>598.51</v>
      </c>
      <c r="O47" s="18">
        <f t="shared" si="6"/>
        <v>5200.2299999999996</v>
      </c>
      <c r="P47" s="12"/>
      <c r="Q47" s="28">
        <v>7500</v>
      </c>
      <c r="R47" s="28">
        <v>8500</v>
      </c>
      <c r="S47" s="28">
        <v>9500</v>
      </c>
    </row>
    <row r="48" spans="1:29" s="10" customFormat="1" ht="15.75" hidden="1" x14ac:dyDescent="0.25">
      <c r="A48" s="26" t="s">
        <v>80</v>
      </c>
      <c r="B48" s="36" t="s">
        <v>81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f>IFERROR(GETPIVOTDATA("[Measures].[Jrnl Posting Am]",'[1]Historical Summary Cube'!$AA$73,"[Object].[Object Group]","[Object].[Object Group].&amp;[44]","[Object].[Obj Group Nm]","[Object].[Obj Group Nm].&amp;[STATE VEHICLES OPERATION]","[Accounting Period].[Fisc Period]","[Accounting Period].[Fisc Period].&amp;[12]"),0)</f>
        <v>0</v>
      </c>
      <c r="O48" s="18">
        <f t="shared" si="6"/>
        <v>0</v>
      </c>
      <c r="P48" s="12"/>
      <c r="Q48" s="28"/>
      <c r="R48" s="28"/>
      <c r="S48" s="28"/>
    </row>
    <row r="49" spans="1:23" s="10" customFormat="1" ht="15.75" hidden="1" x14ac:dyDescent="0.25">
      <c r="A49" s="26" t="s">
        <v>82</v>
      </c>
      <c r="B49" s="36" t="s">
        <v>83</v>
      </c>
      <c r="C49" s="20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f>IFERROR(GETPIVOTDATA("[Measures].[Jrnl Posting Am]",'[1]Historical Summary Cube'!$AA$73,"[Object].[Object Group]","[Object].[Object Group].&amp;[45]","[Object].[Obj Group Nm]","[Object].[Obj Group Nm].&amp;[UTILITY SERVICES]","[Accounting Period].[Fisc Period]","[Accounting Period].[Fisc Period].&amp;[12]"),0)</f>
        <v>0</v>
      </c>
      <c r="O49" s="18">
        <f t="shared" si="6"/>
        <v>0</v>
      </c>
      <c r="P49" s="12"/>
      <c r="Q49" s="28"/>
      <c r="R49" s="28"/>
      <c r="S49" s="28"/>
    </row>
    <row r="50" spans="1:23" s="10" customFormat="1" ht="15.75" x14ac:dyDescent="0.25">
      <c r="A50" s="26" t="s">
        <v>84</v>
      </c>
      <c r="B50" s="36" t="s">
        <v>85</v>
      </c>
      <c r="C50" s="20">
        <v>0</v>
      </c>
      <c r="D50" s="20">
        <v>1111.71</v>
      </c>
      <c r="E50" s="20">
        <v>2869.3</v>
      </c>
      <c r="F50" s="20">
        <v>194.24</v>
      </c>
      <c r="G50" s="20">
        <v>70.180000000000007</v>
      </c>
      <c r="H50" s="20">
        <v>2495.92</v>
      </c>
      <c r="I50" s="20">
        <v>2544.8000000000002</v>
      </c>
      <c r="J50" s="20">
        <v>862.23</v>
      </c>
      <c r="K50" s="20">
        <v>793.15</v>
      </c>
      <c r="L50" s="20">
        <v>856.82</v>
      </c>
      <c r="M50" s="20">
        <v>1196.56</v>
      </c>
      <c r="N50" s="20">
        <v>1277.6199999999999</v>
      </c>
      <c r="O50" s="18">
        <f t="shared" si="6"/>
        <v>14272.529999999999</v>
      </c>
      <c r="P50" s="12"/>
      <c r="Q50" s="28">
        <v>16500</v>
      </c>
      <c r="R50" s="28">
        <f>+Q50*1.05</f>
        <v>17325</v>
      </c>
      <c r="S50" s="28">
        <f>+R50*1.05</f>
        <v>18191.25</v>
      </c>
      <c r="T50" s="10" t="s">
        <v>86</v>
      </c>
      <c r="U50" s="28"/>
    </row>
    <row r="51" spans="1:23" s="10" customFormat="1" ht="15.75" hidden="1" x14ac:dyDescent="0.25">
      <c r="A51" s="26" t="s">
        <v>87</v>
      </c>
      <c r="B51" s="36" t="s">
        <v>88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f>IFERROR(GETPIVOTDATA("[Measures].[Jrnl Posting Am]",'[1]Historical Summary Cube'!$AA$73,"[Object].[Object Group]","[Object].[Object Group].&amp;[47]","[Object].[Obj Group Nm]","[Object].[Obj Group Nm].&amp;[REPAIRS]","[Accounting Period].[Fisc Period]","[Accounting Period].[Fisc Period].&amp;[12]"),0)</f>
        <v>0</v>
      </c>
      <c r="O51" s="18">
        <f t="shared" si="6"/>
        <v>0</v>
      </c>
      <c r="P51" s="12"/>
      <c r="Q51" s="28"/>
      <c r="R51" s="28"/>
      <c r="S51" s="28"/>
    </row>
    <row r="52" spans="1:23" s="10" customFormat="1" ht="15.75" x14ac:dyDescent="0.25">
      <c r="A52" s="26" t="s">
        <v>89</v>
      </c>
      <c r="B52" s="36" t="s">
        <v>90</v>
      </c>
      <c r="C52" s="20">
        <v>0</v>
      </c>
      <c r="D52" s="20">
        <v>3483</v>
      </c>
      <c r="E52" s="20">
        <v>150</v>
      </c>
      <c r="F52" s="20">
        <v>0</v>
      </c>
      <c r="G52" s="20">
        <v>0</v>
      </c>
      <c r="H52" s="20">
        <v>0</v>
      </c>
      <c r="I52" s="20">
        <v>4.6100000000000003</v>
      </c>
      <c r="J52" s="20">
        <v>174</v>
      </c>
      <c r="K52" s="20">
        <v>0</v>
      </c>
      <c r="L52" s="20">
        <v>0</v>
      </c>
      <c r="M52" s="20">
        <v>0</v>
      </c>
      <c r="N52" s="20">
        <f>IFERROR(GETPIVOTDATA("[Measures].[Jrnl Posting Am]",'[1]Historical Summary Cube'!$AA$73,"[Object].[Object Group]","[Object].[Object Group].&amp;[48]","[Object].[Obj Group Nm]","[Object].[Obj Group Nm].&amp;[INSURANCE]","[Accounting Period].[Fisc Period]","[Accounting Period].[Fisc Period].&amp;[12]"),0)</f>
        <v>0</v>
      </c>
      <c r="O52" s="18">
        <f t="shared" si="6"/>
        <v>3811.61</v>
      </c>
      <c r="P52" s="12"/>
      <c r="Q52" s="28">
        <v>4200</v>
      </c>
      <c r="R52" s="28">
        <f>+Q52*1.05</f>
        <v>4410</v>
      </c>
      <c r="S52" s="28">
        <f>+R52*1.05</f>
        <v>4630.5</v>
      </c>
      <c r="T52" s="10" t="s">
        <v>91</v>
      </c>
    </row>
    <row r="53" spans="1:23" s="10" customFormat="1" ht="15.75" x14ac:dyDescent="0.25">
      <c r="A53" s="26" t="s">
        <v>92</v>
      </c>
      <c r="B53" s="36" t="s">
        <v>93</v>
      </c>
      <c r="C53" s="20">
        <v>671.83</v>
      </c>
      <c r="D53" s="20">
        <v>900.43999999999994</v>
      </c>
      <c r="E53" s="20">
        <v>793.02</v>
      </c>
      <c r="F53" s="20">
        <v>306.18</v>
      </c>
      <c r="G53" s="20">
        <v>1199.0099999999998</v>
      </c>
      <c r="H53" s="20">
        <v>3239.2500000000005</v>
      </c>
      <c r="I53" s="20">
        <v>423.54000000000008</v>
      </c>
      <c r="J53" s="20">
        <v>15807.34</v>
      </c>
      <c r="K53" s="20">
        <v>4195.51</v>
      </c>
      <c r="L53" s="20">
        <v>1040.5</v>
      </c>
      <c r="M53" s="20">
        <v>17579.599999999999</v>
      </c>
      <c r="N53" s="20">
        <v>1913.17</v>
      </c>
      <c r="O53" s="18">
        <f t="shared" si="6"/>
        <v>48069.39</v>
      </c>
      <c r="P53" s="12"/>
      <c r="Q53" s="28">
        <f>+Q96-35000</f>
        <v>50430.274999999994</v>
      </c>
      <c r="R53" s="28">
        <f>+R96-35000</f>
        <v>50535.274999999994</v>
      </c>
      <c r="S53" s="28">
        <f>+S96-35000</f>
        <v>50783.024999999994</v>
      </c>
      <c r="T53" s="10" t="s">
        <v>94</v>
      </c>
    </row>
    <row r="54" spans="1:23" s="10" customFormat="1" ht="15.75" x14ac:dyDescent="0.25">
      <c r="A54" s="26" t="s">
        <v>95</v>
      </c>
      <c r="B54" s="36" t="s">
        <v>96</v>
      </c>
      <c r="C54" s="20">
        <v>0</v>
      </c>
      <c r="D54" s="20">
        <v>0</v>
      </c>
      <c r="E54" s="20">
        <v>0</v>
      </c>
      <c r="F54" s="20">
        <v>0</v>
      </c>
      <c r="G54" s="20">
        <v>131.34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f>IFERROR(GETPIVOTDATA("[Measures].[Jrnl Posting Am]",'[1]Historical Summary Cube'!$AA$73,"[Object].[Object Group]","[Object].[Object Group].&amp;[50]","[Object].[Obj Group Nm]","[Object].[Obj Group Nm].&amp;[EMPLOYEE TRAINING]","[Accounting Period].[Fisc Period]","[Accounting Period].[Fisc Period].&amp;[12]"),0)</f>
        <v>0</v>
      </c>
      <c r="O54" s="18">
        <f t="shared" si="6"/>
        <v>131.34</v>
      </c>
      <c r="P54" s="12"/>
      <c r="Q54" s="28">
        <v>500</v>
      </c>
      <c r="R54" s="28">
        <v>500</v>
      </c>
      <c r="S54" s="28">
        <v>500</v>
      </c>
      <c r="T54" s="10" t="s">
        <v>97</v>
      </c>
    </row>
    <row r="55" spans="1:23" s="10" customFormat="1" ht="15.75" x14ac:dyDescent="0.25">
      <c r="A55" s="26" t="s">
        <v>98</v>
      </c>
      <c r="B55" s="36" t="s">
        <v>99</v>
      </c>
      <c r="C55" s="20">
        <v>0</v>
      </c>
      <c r="D55" s="20">
        <v>0</v>
      </c>
      <c r="E55" s="20">
        <v>0</v>
      </c>
      <c r="F55" s="20">
        <v>0</v>
      </c>
      <c r="G55" s="20">
        <v>59.87</v>
      </c>
      <c r="H55" s="20">
        <v>0</v>
      </c>
      <c r="I55" s="20">
        <v>0</v>
      </c>
      <c r="J55" s="20">
        <v>0</v>
      </c>
      <c r="K55" s="20">
        <v>0</v>
      </c>
      <c r="L55" s="20">
        <v>36.36</v>
      </c>
      <c r="M55" s="20">
        <v>37.520000000000003</v>
      </c>
      <c r="N55" s="20">
        <v>0</v>
      </c>
      <c r="O55" s="18">
        <f t="shared" si="6"/>
        <v>133.75</v>
      </c>
      <c r="P55" s="12"/>
      <c r="Q55" s="28">
        <f>50*9</f>
        <v>450</v>
      </c>
      <c r="R55" s="28">
        <f t="shared" ref="R55:S55" si="8">50*9</f>
        <v>450</v>
      </c>
      <c r="S55" s="28">
        <f t="shared" si="8"/>
        <v>450</v>
      </c>
      <c r="T55" s="10" t="s">
        <v>100</v>
      </c>
    </row>
    <row r="56" spans="1:23" s="10" customFormat="1" ht="15.75" x14ac:dyDescent="0.25">
      <c r="A56" s="26" t="s">
        <v>101</v>
      </c>
      <c r="B56" s="36" t="s">
        <v>102</v>
      </c>
      <c r="C56" s="20">
        <v>10435.49</v>
      </c>
      <c r="D56" s="20">
        <v>0</v>
      </c>
      <c r="E56" s="20">
        <v>49934.180000000008</v>
      </c>
      <c r="F56" s="20">
        <v>0</v>
      </c>
      <c r="G56" s="20">
        <v>-9014.51</v>
      </c>
      <c r="H56" s="20">
        <v>10520.949999999999</v>
      </c>
      <c r="I56" s="20">
        <v>0</v>
      </c>
      <c r="J56" s="20">
        <v>10435.49</v>
      </c>
      <c r="K56" s="20">
        <v>33332.049999999996</v>
      </c>
      <c r="L56" s="20">
        <v>0</v>
      </c>
      <c r="M56" s="20">
        <v>20501.27</v>
      </c>
      <c r="N56" s="20">
        <v>10137</v>
      </c>
      <c r="O56" s="18">
        <f t="shared" si="6"/>
        <v>136281.91999999998</v>
      </c>
      <c r="P56" s="12"/>
      <c r="Q56" s="28">
        <f>+Q101</f>
        <v>378003</v>
      </c>
      <c r="R56" s="28">
        <f t="shared" ref="R56:S56" si="9">+R101</f>
        <v>405432</v>
      </c>
      <c r="S56" s="28">
        <f t="shared" si="9"/>
        <v>412596</v>
      </c>
      <c r="T56" s="10" t="s">
        <v>154</v>
      </c>
    </row>
    <row r="57" spans="1:23" s="10" customFormat="1" ht="15.75" hidden="1" x14ac:dyDescent="0.25">
      <c r="A57" s="26" t="s">
        <v>103</v>
      </c>
      <c r="B57" s="36" t="s">
        <v>104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20">
        <v>0</v>
      </c>
      <c r="J57" s="20">
        <v>0</v>
      </c>
      <c r="K57" s="20">
        <v>0</v>
      </c>
      <c r="L57" s="20">
        <v>0</v>
      </c>
      <c r="M57" s="20">
        <v>0</v>
      </c>
      <c r="N57" s="20">
        <f>IFERROR(GETPIVOTDATA("[Measures].[Jrnl Posting Am]",'[1]Historical Summary Cube'!$AA$73,"[Object].[Object Group]","[Object].[Object Group].&amp;[54]","[Object].[Obj Group Nm]","[Object].[Obj Group Nm].&amp;[CLOTHING]","[Accounting Period].[Fisc Period]","[Accounting Period].[Fisc Period].&amp;[12]"),0)</f>
        <v>0</v>
      </c>
      <c r="O57" s="18">
        <f t="shared" si="6"/>
        <v>0</v>
      </c>
      <c r="P57" s="12"/>
      <c r="Q57" s="28"/>
      <c r="R57" s="28"/>
      <c r="S57" s="28"/>
    </row>
    <row r="58" spans="1:23" s="10" customFormat="1" ht="15.75" x14ac:dyDescent="0.25">
      <c r="A58" s="26" t="s">
        <v>105</v>
      </c>
      <c r="B58" s="36" t="s">
        <v>106</v>
      </c>
      <c r="C58" s="20">
        <v>220.62</v>
      </c>
      <c r="D58" s="20">
        <v>243.26999999999998</v>
      </c>
      <c r="E58" s="20">
        <v>523.86</v>
      </c>
      <c r="F58" s="20">
        <v>245.79999999999998</v>
      </c>
      <c r="G58" s="20">
        <v>219.88</v>
      </c>
      <c r="H58" s="20">
        <v>416.32000000000005</v>
      </c>
      <c r="I58" s="20">
        <v>329.50999999999993</v>
      </c>
      <c r="J58" s="20">
        <v>110.08</v>
      </c>
      <c r="K58" s="20">
        <v>355.31</v>
      </c>
      <c r="L58" s="20">
        <v>135.52000000000001</v>
      </c>
      <c r="M58" s="20">
        <v>718.32999999999993</v>
      </c>
      <c r="N58" s="20">
        <v>329.17</v>
      </c>
      <c r="O58" s="18">
        <f t="shared" si="6"/>
        <v>3847.6699999999996</v>
      </c>
      <c r="P58" s="12"/>
      <c r="Q58" s="28">
        <v>4200</v>
      </c>
      <c r="R58" s="28">
        <f>+Q58*1.05</f>
        <v>4410</v>
      </c>
      <c r="S58" s="28">
        <f>+R58*1.05</f>
        <v>4630.5</v>
      </c>
      <c r="T58" s="10" t="s">
        <v>107</v>
      </c>
      <c r="W58" s="28"/>
    </row>
    <row r="59" spans="1:23" s="10" customFormat="1" ht="15.75" x14ac:dyDescent="0.25">
      <c r="A59" s="26" t="s">
        <v>108</v>
      </c>
      <c r="B59" s="36" t="s">
        <v>109</v>
      </c>
      <c r="C59" s="20">
        <v>0</v>
      </c>
      <c r="D59" s="20">
        <v>46.980000000000004</v>
      </c>
      <c r="E59" s="20">
        <v>115.39999999999999</v>
      </c>
      <c r="F59" s="20">
        <v>2365.23</v>
      </c>
      <c r="G59" s="20">
        <v>195.85</v>
      </c>
      <c r="H59" s="20">
        <v>20.97</v>
      </c>
      <c r="I59" s="20">
        <v>143.67000000000002</v>
      </c>
      <c r="J59" s="20">
        <v>489.3</v>
      </c>
      <c r="K59" s="20">
        <v>54.41</v>
      </c>
      <c r="L59" s="20">
        <v>55.01</v>
      </c>
      <c r="M59" s="20">
        <v>52.87</v>
      </c>
      <c r="N59" s="20">
        <v>259.44</v>
      </c>
      <c r="O59" s="18">
        <f t="shared" si="6"/>
        <v>3799.13</v>
      </c>
      <c r="P59" s="12"/>
      <c r="Q59" s="28">
        <v>3500</v>
      </c>
      <c r="R59" s="28">
        <f>+Q59*1.05</f>
        <v>3675</v>
      </c>
      <c r="S59" s="28">
        <f>+R59*1.05</f>
        <v>3858.75</v>
      </c>
      <c r="T59" s="10" t="s">
        <v>110</v>
      </c>
      <c r="W59" s="20"/>
    </row>
    <row r="60" spans="1:23" s="10" customFormat="1" ht="15.75" hidden="1" x14ac:dyDescent="0.25">
      <c r="A60" s="26" t="s">
        <v>111</v>
      </c>
      <c r="B60" s="36" t="s">
        <v>112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20">
        <v>0</v>
      </c>
      <c r="I60" s="20">
        <v>0</v>
      </c>
      <c r="J60" s="20">
        <v>0</v>
      </c>
      <c r="K60" s="20">
        <v>0</v>
      </c>
      <c r="L60" s="20">
        <v>0</v>
      </c>
      <c r="M60" s="20">
        <v>0</v>
      </c>
      <c r="N60" s="20">
        <f>IFERROR(GETPIVOTDATA("[Measures].[Jrnl Posting Am]",'[1]Historical Summary Cube'!$AA$73,"[Object].[Object Group]","[Object].[Object Group].&amp;[58]","[Object].[Obj Group Nm]","[Object].[Obj Group Nm].&amp;[HIGHWAY MATERIALS]","[Accounting Period].[Fisc Period]","[Accounting Period].[Fisc Period].&amp;[12]"),0)</f>
        <v>0</v>
      </c>
      <c r="O60" s="18">
        <f t="shared" si="6"/>
        <v>0</v>
      </c>
      <c r="P60" s="12"/>
      <c r="Q60" s="28"/>
      <c r="R60" s="28"/>
      <c r="S60" s="28"/>
    </row>
    <row r="61" spans="1:23" s="10" customFormat="1" ht="15.75" hidden="1" x14ac:dyDescent="0.25">
      <c r="A61" s="26">
        <v>63</v>
      </c>
      <c r="B61" s="36" t="s">
        <v>113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20">
        <f>IFERROR(GETPIVOTDATA("[Measures].[Jrnl Posting Am]",'[1]Historical Summary Cube'!$AA$73,"[Object].[Object Group]","[Object].[Object Group].&amp;[63]","[Object].[Obj Group Nm]","[Object].[Obj Group Nm].&amp;[GRANTS TO CITIES AND TOWNS]","[Accounting Period].[Fisc Period]","[Accounting Period].[Fisc Period].&amp;[12]"),0)</f>
        <v>0</v>
      </c>
      <c r="O61" s="18">
        <f t="shared" si="6"/>
        <v>0</v>
      </c>
      <c r="P61" s="12"/>
      <c r="Q61" s="28"/>
      <c r="R61" s="28"/>
      <c r="S61" s="28"/>
    </row>
    <row r="62" spans="1:23" s="10" customFormat="1" ht="15.75" x14ac:dyDescent="0.25">
      <c r="A62" s="26" t="s">
        <v>114</v>
      </c>
      <c r="B62" s="36" t="s">
        <v>115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20">
        <v>0</v>
      </c>
      <c r="J62" s="20">
        <v>0</v>
      </c>
      <c r="K62" s="20">
        <v>6432</v>
      </c>
      <c r="L62" s="20">
        <v>0</v>
      </c>
      <c r="M62" s="20">
        <v>0</v>
      </c>
      <c r="N62" s="20">
        <f>IFERROR(GETPIVOTDATA("[Measures].[Jrnl Posting Am]",'[1]Historical Summary Cube'!$AA$73,"[Object].[Object Group]","[Object].[Object Group].&amp;[64]","[Object].[Obj Group Nm]","[Object].[Obj Group Nm].&amp;[GRANTS TO PUB AND PRIV ORGNS]","[Accounting Period].[Fisc Period]","[Accounting Period].[Fisc Period].&amp;[12]"),0)</f>
        <v>0</v>
      </c>
      <c r="O62" s="18">
        <f t="shared" si="6"/>
        <v>6432</v>
      </c>
      <c r="P62" s="12"/>
      <c r="Q62" s="37">
        <v>6432</v>
      </c>
      <c r="R62" s="37">
        <v>6432</v>
      </c>
      <c r="S62" s="37">
        <v>6432</v>
      </c>
      <c r="T62" s="10" t="s">
        <v>116</v>
      </c>
      <c r="W62" s="28"/>
    </row>
    <row r="63" spans="1:23" s="10" customFormat="1" ht="15.75" hidden="1" x14ac:dyDescent="0.25">
      <c r="A63" s="26" t="s">
        <v>117</v>
      </c>
      <c r="B63" s="36" t="s">
        <v>118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0</v>
      </c>
      <c r="N63" s="20">
        <f>IFERROR(GETPIVOTDATA("[Measures].[Jrnl Posting Am]",'[1]Historical Summary Cube'!$AA$73,"[Object].[Object Group]","[Object].[Object Group].&amp;[67]","[Object].[Obj Group Nm]","[Object].[Obj Group Nm].&amp;[ASSISTANCE AND RELIEF GRANT]","[Accounting Period].[Fisc Period]","[Accounting Period].[Fisc Period].&amp;[12]"),0)</f>
        <v>0</v>
      </c>
      <c r="O63" s="18">
        <f t="shared" si="6"/>
        <v>0</v>
      </c>
      <c r="P63" s="12"/>
      <c r="Q63" s="28"/>
      <c r="R63" s="28"/>
      <c r="S63" s="28"/>
    </row>
    <row r="64" spans="1:23" s="10" customFormat="1" ht="15.75" hidden="1" x14ac:dyDescent="0.25">
      <c r="A64" s="26" t="s">
        <v>119</v>
      </c>
      <c r="B64" s="36" t="s">
        <v>120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f>IFERROR(GETPIVOTDATA("[Measures].[Jrnl Posting Am]",'[1]Historical Summary Cube'!$AA$73,"[Object].[Object Group]","[Object].[Object Group].&amp;[72]","[Object].[Obj Group Nm]","[Object].[Obj Group Nm].&amp;[EQUIPMENT]","[Accounting Period].[Fisc Period]","[Accounting Period].[Fisc Period].&amp;[12]"),0)</f>
        <v>0</v>
      </c>
      <c r="O64" s="18">
        <f t="shared" si="6"/>
        <v>0</v>
      </c>
      <c r="P64" s="12"/>
      <c r="Q64" s="28"/>
      <c r="R64" s="28"/>
      <c r="S64" s="28"/>
    </row>
    <row r="65" spans="1:21" s="10" customFormat="1" ht="15.75" x14ac:dyDescent="0.25">
      <c r="A65" s="26" t="s">
        <v>121</v>
      </c>
      <c r="B65" s="36" t="s">
        <v>122</v>
      </c>
      <c r="C65" s="20">
        <v>0</v>
      </c>
      <c r="D65" s="20">
        <v>-20</v>
      </c>
      <c r="E65" s="20">
        <v>0</v>
      </c>
      <c r="F65" s="20">
        <v>0</v>
      </c>
      <c r="G65" s="20">
        <v>-20</v>
      </c>
      <c r="H65" s="20">
        <v>0</v>
      </c>
      <c r="I65" s="20">
        <v>0</v>
      </c>
      <c r="J65" s="20">
        <v>0</v>
      </c>
      <c r="K65" s="20">
        <v>0</v>
      </c>
      <c r="L65" s="20">
        <v>0</v>
      </c>
      <c r="M65" s="20">
        <v>0</v>
      </c>
      <c r="N65" s="20">
        <v>40</v>
      </c>
      <c r="O65" s="18">
        <f t="shared" si="6"/>
        <v>0</v>
      </c>
      <c r="P65" s="12"/>
      <c r="Q65" s="28"/>
      <c r="R65" s="28"/>
      <c r="S65" s="28"/>
    </row>
    <row r="66" spans="1:21" s="10" customFormat="1" ht="15.75" x14ac:dyDescent="0.25">
      <c r="A66" s="26" t="s">
        <v>123</v>
      </c>
      <c r="B66" s="36" t="s">
        <v>124</v>
      </c>
      <c r="C66" s="20">
        <v>7568.1699999999992</v>
      </c>
      <c r="D66" s="20">
        <v>9942.77</v>
      </c>
      <c r="E66" s="20">
        <v>10755.88</v>
      </c>
      <c r="F66" s="20">
        <v>6341.3300000000008</v>
      </c>
      <c r="G66" s="20">
        <v>5737.32</v>
      </c>
      <c r="H66" s="20">
        <v>7790.6200000000008</v>
      </c>
      <c r="I66" s="20">
        <v>10074.98</v>
      </c>
      <c r="J66" s="20">
        <v>8522.380000000001</v>
      </c>
      <c r="K66" s="20">
        <v>9336.659999999998</v>
      </c>
      <c r="L66" s="20">
        <v>8401.7999999999993</v>
      </c>
      <c r="M66" s="20">
        <f>(SUM(M43:M60)*0.06265)+0.02</f>
        <v>9494.760944499998</v>
      </c>
      <c r="N66" s="20">
        <f>(SUM(N43:N60)*0.06265)-0.01</f>
        <v>8032.9980599999981</v>
      </c>
      <c r="O66" s="18">
        <f t="shared" si="6"/>
        <v>101999.66900450001</v>
      </c>
      <c r="P66" s="12"/>
      <c r="Q66" s="20">
        <f>SUM(Q43:Q60)*Q73</f>
        <v>88825.092209549999</v>
      </c>
      <c r="R66" s="20">
        <f>SUM(R43:R60)*R73</f>
        <v>92213.871055949989</v>
      </c>
      <c r="S66" s="20">
        <f>SUM(S43:S60)*S73</f>
        <v>94611.626441913992</v>
      </c>
      <c r="T66" s="10" t="s">
        <v>125</v>
      </c>
      <c r="U66" s="10" t="s">
        <v>126</v>
      </c>
    </row>
    <row r="67" spans="1:21" s="10" customFormat="1" ht="15.75" x14ac:dyDescent="0.25">
      <c r="A67" s="26" t="s">
        <v>127</v>
      </c>
      <c r="B67" s="36" t="s">
        <v>128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14.82</v>
      </c>
      <c r="I67" s="20">
        <v>0</v>
      </c>
      <c r="J67" s="20">
        <v>0</v>
      </c>
      <c r="K67" s="20">
        <v>0</v>
      </c>
      <c r="L67" s="20">
        <v>0</v>
      </c>
      <c r="M67" s="20">
        <v>0</v>
      </c>
      <c r="N67" s="20">
        <f>IFERROR(GETPIVOTDATA("[Measures].[Jrnl Posting Am]",'[1]Historical Summary Cube'!$AA$73,"[Object].[Object Group]","[Object].[Object Group].&amp;[90]","[Object].[Obj Group Nm]","[Object].[Obj Group Nm].&amp;[CHARGES TO ASSETS AND LIAB.]","[Accounting Period].[Fisc Period]","[Accounting Period].[Fisc Period].&amp;[12]"),0)</f>
        <v>0</v>
      </c>
      <c r="O67" s="18">
        <f t="shared" si="6"/>
        <v>14.82</v>
      </c>
      <c r="P67" s="12"/>
      <c r="Q67" s="28"/>
      <c r="R67" s="28"/>
      <c r="S67" s="28"/>
    </row>
    <row r="68" spans="1:21" s="33" customFormat="1" ht="16.5" thickBot="1" x14ac:dyDescent="0.3">
      <c r="A68" s="23"/>
      <c r="B68" s="30" t="s">
        <v>129</v>
      </c>
      <c r="C68" s="31">
        <f>SUM(C43:C67)</f>
        <v>128368.54</v>
      </c>
      <c r="D68" s="31">
        <f t="shared" ref="D68:N68" si="10">SUM(D43:D67)</f>
        <v>168626.21999999997</v>
      </c>
      <c r="E68" s="31">
        <f t="shared" si="10"/>
        <v>182437.18</v>
      </c>
      <c r="F68" s="31">
        <f t="shared" si="10"/>
        <v>107559.77000000002</v>
      </c>
      <c r="G68" s="31">
        <f t="shared" si="10"/>
        <v>97294.189999999973</v>
      </c>
      <c r="H68" s="31">
        <f t="shared" si="10"/>
        <v>132156.30000000002</v>
      </c>
      <c r="I68" s="31">
        <f t="shared" si="10"/>
        <v>170888.75000000003</v>
      </c>
      <c r="J68" s="31">
        <f t="shared" si="10"/>
        <v>144553.82999999996</v>
      </c>
      <c r="K68" s="31">
        <f t="shared" si="10"/>
        <v>164797.84999999998</v>
      </c>
      <c r="L68" s="31">
        <f t="shared" si="10"/>
        <v>142508.42999999996</v>
      </c>
      <c r="M68" s="31">
        <f t="shared" si="10"/>
        <v>161046.89094449999</v>
      </c>
      <c r="N68" s="31">
        <f t="shared" si="10"/>
        <v>136293.39805999998</v>
      </c>
      <c r="O68" s="31">
        <f t="shared" si="6"/>
        <v>1736531.3490044998</v>
      </c>
      <c r="P68" s="32"/>
      <c r="Q68" s="31">
        <f>SUM(Q43:Q67)</f>
        <v>1909124.60720955</v>
      </c>
      <c r="R68" s="31">
        <f t="shared" ref="R68:S68" si="11">SUM(R43:R67)</f>
        <v>1981714.5060559497</v>
      </c>
      <c r="S68" s="31">
        <f t="shared" si="11"/>
        <v>2033076.0226419137</v>
      </c>
    </row>
    <row r="69" spans="1:21" s="10" customFormat="1" ht="15.75" x14ac:dyDescent="0.25">
      <c r="A69" s="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18"/>
      <c r="P69" s="12"/>
    </row>
    <row r="70" spans="1:21" s="10" customFormat="1" ht="15.75" x14ac:dyDescent="0.25">
      <c r="A70" s="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18"/>
      <c r="P70" s="12"/>
    </row>
    <row r="71" spans="1:21" s="42" customFormat="1" ht="16.5" thickBot="1" x14ac:dyDescent="0.3">
      <c r="A71" s="38"/>
      <c r="B71" s="39" t="s">
        <v>130</v>
      </c>
      <c r="C71" s="39">
        <f t="shared" ref="C71:N71" si="12">C9+C32-C68</f>
        <v>1961483.0899999992</v>
      </c>
      <c r="D71" s="39">
        <f t="shared" ca="1" si="12"/>
        <v>1791676.8099999991</v>
      </c>
      <c r="E71" s="39">
        <f t="shared" ca="1" si="12"/>
        <v>1600234.1399999992</v>
      </c>
      <c r="F71" s="39">
        <f t="shared" ca="1" si="12"/>
        <v>1485352.1799999992</v>
      </c>
      <c r="G71" s="39">
        <f t="shared" ca="1" si="12"/>
        <v>1550435.2199999993</v>
      </c>
      <c r="H71" s="39">
        <f t="shared" ca="1" si="12"/>
        <v>2252212.3899999997</v>
      </c>
      <c r="I71" s="39">
        <f t="shared" ca="1" si="12"/>
        <v>2263610.9999999995</v>
      </c>
      <c r="J71" s="39">
        <f t="shared" ca="1" si="12"/>
        <v>2198410.0999999996</v>
      </c>
      <c r="K71" s="39">
        <f t="shared" ca="1" si="12"/>
        <v>2316927.5399999996</v>
      </c>
      <c r="L71" s="39">
        <f t="shared" ca="1" si="12"/>
        <v>2207009.7299999995</v>
      </c>
      <c r="M71" s="39">
        <f t="shared" ca="1" si="12"/>
        <v>1872486.8390554995</v>
      </c>
      <c r="N71" s="39">
        <f t="shared" ca="1" si="12"/>
        <v>1754990.6214954995</v>
      </c>
      <c r="O71" s="40">
        <f>C9+O32-O68</f>
        <v>1754990.6214954995</v>
      </c>
      <c r="P71" s="41"/>
      <c r="Q71" s="40">
        <f>Q9+Q32-Q68</f>
        <v>1967470.8870359494</v>
      </c>
      <c r="R71" s="40">
        <f>R9+R32-R68</f>
        <v>2121981.0857299999</v>
      </c>
      <c r="S71" s="40">
        <f>S9+S32-S68</f>
        <v>2217785.2036580853</v>
      </c>
    </row>
    <row r="73" spans="1:21" x14ac:dyDescent="0.25">
      <c r="O73" s="45" t="s">
        <v>131</v>
      </c>
      <c r="P73" s="46"/>
      <c r="Q73" s="46">
        <v>4.897E-2</v>
      </c>
      <c r="R73" s="46">
        <v>4.897E-2</v>
      </c>
      <c r="S73" s="46">
        <v>4.897E-2</v>
      </c>
    </row>
    <row r="75" spans="1:21" x14ac:dyDescent="0.25">
      <c r="B75" s="47" t="s">
        <v>132</v>
      </c>
      <c r="O75" s="48">
        <f>O32-O68</f>
        <v>-327388.51850449969</v>
      </c>
      <c r="P75" s="48"/>
      <c r="Q75" s="48">
        <f>Q32-Q68</f>
        <v>212480.26554045011</v>
      </c>
      <c r="R75" s="48">
        <f>R32-R68</f>
        <v>154510.19869405031</v>
      </c>
      <c r="S75" s="48">
        <f>S32-S68</f>
        <v>95804.117928086082</v>
      </c>
    </row>
    <row r="76" spans="1:21" x14ac:dyDescent="0.25">
      <c r="B76" s="49" t="s">
        <v>133</v>
      </c>
      <c r="N76" s="50" t="s">
        <v>134</v>
      </c>
    </row>
    <row r="78" spans="1:21" hidden="1" x14ac:dyDescent="0.25">
      <c r="M78" s="52" t="s">
        <v>135</v>
      </c>
      <c r="N78" s="44" t="s">
        <v>136</v>
      </c>
      <c r="Q78" s="53">
        <v>310771</v>
      </c>
      <c r="R78" s="53">
        <v>309266</v>
      </c>
      <c r="S78" s="53">
        <f>+R78*1.02</f>
        <v>315451.32</v>
      </c>
    </row>
    <row r="79" spans="1:21" hidden="1" x14ac:dyDescent="0.25">
      <c r="M79" s="52" t="s">
        <v>137</v>
      </c>
      <c r="N79" s="54" t="s">
        <v>138</v>
      </c>
      <c r="O79" s="55"/>
      <c r="P79" s="56"/>
      <c r="Q79" s="57">
        <f>503385.61</f>
        <v>503385.61</v>
      </c>
      <c r="R79" s="57">
        <v>511756.63</v>
      </c>
      <c r="S79" s="57">
        <v>519191.47</v>
      </c>
    </row>
    <row r="80" spans="1:21" hidden="1" x14ac:dyDescent="0.25">
      <c r="Q80">
        <v>2252678.41</v>
      </c>
      <c r="R80">
        <v>2326142.5699999998</v>
      </c>
      <c r="S80">
        <v>2379047.34</v>
      </c>
    </row>
    <row r="81" spans="14:20" hidden="1" x14ac:dyDescent="0.25">
      <c r="Q81" s="58">
        <f>+Q68-Q80</f>
        <v>-343553.80279045017</v>
      </c>
      <c r="R81" s="58">
        <f>+R68-R80</f>
        <v>-344428.06394405011</v>
      </c>
      <c r="S81" s="58">
        <f>+S68-S80</f>
        <v>-345971.31735808612</v>
      </c>
    </row>
    <row r="88" spans="14:20" hidden="1" x14ac:dyDescent="0.25">
      <c r="Q88" s="53"/>
      <c r="R88" s="53"/>
      <c r="S88" s="53"/>
      <c r="T88" s="53"/>
    </row>
    <row r="89" spans="14:20" hidden="1" x14ac:dyDescent="0.25">
      <c r="N89" s="59" t="s">
        <v>139</v>
      </c>
      <c r="O89" s="60"/>
      <c r="Q89" s="53"/>
      <c r="R89" s="53"/>
      <c r="S89" s="53"/>
      <c r="T89" s="53"/>
    </row>
    <row r="90" spans="14:20" hidden="1" x14ac:dyDescent="0.25">
      <c r="N90" s="44" t="s">
        <v>140</v>
      </c>
      <c r="Q90" s="53">
        <v>2750</v>
      </c>
      <c r="R90" s="53">
        <f>+Q90*1</f>
        <v>2750</v>
      </c>
      <c r="S90" s="53">
        <f>+R90*1.05</f>
        <v>2887.5</v>
      </c>
      <c r="T90" s="53"/>
    </row>
    <row r="91" spans="14:20" hidden="1" x14ac:dyDescent="0.25">
      <c r="N91" s="44" t="s">
        <v>141</v>
      </c>
      <c r="Q91" s="53">
        <v>35000</v>
      </c>
      <c r="R91" s="53">
        <v>35000</v>
      </c>
      <c r="S91" s="53">
        <v>35000</v>
      </c>
      <c r="T91" s="53" t="s">
        <v>142</v>
      </c>
    </row>
    <row r="92" spans="14:20" hidden="1" x14ac:dyDescent="0.25">
      <c r="N92" s="44" t="s">
        <v>143</v>
      </c>
      <c r="Q92" s="53">
        <v>1500</v>
      </c>
      <c r="R92" s="53">
        <f>+Q92*1.05</f>
        <v>1575</v>
      </c>
      <c r="S92" s="53">
        <f>+R92*1.05</f>
        <v>1653.75</v>
      </c>
      <c r="T92" s="53"/>
    </row>
    <row r="93" spans="14:20" hidden="1" x14ac:dyDescent="0.25">
      <c r="N93" s="44" t="s">
        <v>144</v>
      </c>
      <c r="Q93" s="53">
        <v>600</v>
      </c>
      <c r="R93" s="53">
        <f>+Q93*1.05</f>
        <v>630</v>
      </c>
      <c r="S93" s="53">
        <f>+R93*1.05</f>
        <v>661.5</v>
      </c>
      <c r="T93" s="53"/>
    </row>
    <row r="94" spans="14:20" hidden="1" x14ac:dyDescent="0.25">
      <c r="N94" s="44" t="s">
        <v>145</v>
      </c>
      <c r="Q94" s="53">
        <f>SUM(Q12:Q13)*0.015</f>
        <v>39280.275000000001</v>
      </c>
      <c r="R94" s="53">
        <f>SUM(R12:R13)*0.015</f>
        <v>39280.275000000001</v>
      </c>
      <c r="S94" s="53">
        <f>SUM(S12:S13)*0.015</f>
        <v>39280.275000000001</v>
      </c>
      <c r="T94" s="53"/>
    </row>
    <row r="95" spans="14:20" hidden="1" x14ac:dyDescent="0.25">
      <c r="N95" s="44" t="s">
        <v>146</v>
      </c>
      <c r="Q95" s="53">
        <f>700*9</f>
        <v>6300</v>
      </c>
      <c r="R95" s="53">
        <f>+Q95</f>
        <v>6300</v>
      </c>
      <c r="S95" s="53">
        <f>+R95</f>
        <v>6300</v>
      </c>
      <c r="T95" s="53"/>
    </row>
    <row r="96" spans="14:20" ht="15.75" hidden="1" thickBot="1" x14ac:dyDescent="0.3">
      <c r="Q96" s="61">
        <f>SUM(Q90:Q95)</f>
        <v>85430.274999999994</v>
      </c>
      <c r="R96" s="61">
        <f t="shared" ref="R96:S96" si="13">SUM(R90:R95)</f>
        <v>85535.274999999994</v>
      </c>
      <c r="S96" s="61">
        <f t="shared" si="13"/>
        <v>85783.024999999994</v>
      </c>
      <c r="T96" s="53"/>
    </row>
    <row r="97" spans="2:29" hidden="1" x14ac:dyDescent="0.25">
      <c r="Q97" s="53"/>
      <c r="R97" s="53"/>
      <c r="S97" s="53"/>
      <c r="T97" s="53"/>
    </row>
    <row r="98" spans="2:29" hidden="1" x14ac:dyDescent="0.25"/>
    <row r="99" spans="2:29" hidden="1" x14ac:dyDescent="0.25"/>
    <row r="100" spans="2:29" hidden="1" x14ac:dyDescent="0.25"/>
    <row r="101" spans="2:29" hidden="1" x14ac:dyDescent="0.25">
      <c r="M101" s="44" t="s">
        <v>147</v>
      </c>
      <c r="Q101" s="53">
        <f>(33345*9)+(25966*3)</f>
        <v>378003</v>
      </c>
      <c r="R101" s="53">
        <f>33786*12</f>
        <v>405432</v>
      </c>
      <c r="S101" s="53">
        <f>34383*12</f>
        <v>412596</v>
      </c>
      <c r="T101" s="53"/>
    </row>
    <row r="102" spans="2:29" hidden="1" x14ac:dyDescent="0.25"/>
    <row r="103" spans="2:29" hidden="1" x14ac:dyDescent="0.25"/>
    <row r="104" spans="2:29" ht="15.75" hidden="1" x14ac:dyDescent="0.25">
      <c r="N104" s="10" t="s">
        <v>148</v>
      </c>
      <c r="O104" s="10">
        <v>40</v>
      </c>
      <c r="Q104" s="53">
        <v>11000</v>
      </c>
      <c r="R104" s="53">
        <v>11000</v>
      </c>
      <c r="S104" s="53">
        <v>11000</v>
      </c>
      <c r="T104" t="s">
        <v>149</v>
      </c>
    </row>
    <row r="105" spans="2:29" ht="15.75" hidden="1" x14ac:dyDescent="0.25">
      <c r="N105" s="10" t="s">
        <v>150</v>
      </c>
      <c r="O105" s="62">
        <v>40</v>
      </c>
      <c r="Q105" s="63">
        <v>14621</v>
      </c>
      <c r="R105" s="63">
        <v>14621</v>
      </c>
      <c r="S105" s="63">
        <v>14621</v>
      </c>
      <c r="T105" t="s">
        <v>51</v>
      </c>
    </row>
    <row r="106" spans="2:29" hidden="1" x14ac:dyDescent="0.25"/>
    <row r="107" spans="2:29" hidden="1" x14ac:dyDescent="0.25"/>
    <row r="108" spans="2:29" hidden="1" x14ac:dyDescent="0.25"/>
    <row r="109" spans="2:29" hidden="1" x14ac:dyDescent="0.25"/>
    <row r="110" spans="2:29" hidden="1" x14ac:dyDescent="0.25"/>
    <row r="111" spans="2:29" s="43" customFormat="1" hidden="1" x14ac:dyDescent="0.25">
      <c r="B111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8"/>
      <c r="P111" s="51"/>
      <c r="Q111"/>
      <c r="R111"/>
      <c r="S111"/>
      <c r="T111"/>
      <c r="U111"/>
      <c r="V111"/>
      <c r="W111"/>
      <c r="X111"/>
      <c r="Y111"/>
      <c r="Z111"/>
      <c r="AA111"/>
      <c r="AB111"/>
      <c r="AC111"/>
    </row>
    <row r="112" spans="2:29" s="43" customFormat="1" hidden="1" x14ac:dyDescent="0.25">
      <c r="B112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8"/>
      <c r="P112" s="51"/>
      <c r="Q112"/>
      <c r="R112"/>
      <c r="S112"/>
      <c r="T112"/>
      <c r="U112"/>
      <c r="V112"/>
      <c r="W112"/>
      <c r="X112"/>
      <c r="Y112"/>
      <c r="Z112"/>
      <c r="AA112"/>
      <c r="AB112"/>
      <c r="AC112"/>
    </row>
    <row r="113" spans="2:29" s="43" customFormat="1" hidden="1" x14ac:dyDescent="0.25">
      <c r="B113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8"/>
      <c r="P113" s="51"/>
      <c r="Q113"/>
      <c r="R113"/>
      <c r="S113"/>
      <c r="T113"/>
      <c r="U113"/>
      <c r="V113"/>
      <c r="W113"/>
      <c r="X113"/>
      <c r="Y113"/>
      <c r="Z113"/>
      <c r="AA113"/>
      <c r="AB113"/>
      <c r="AC113"/>
    </row>
    <row r="114" spans="2:29" s="43" customFormat="1" hidden="1" x14ac:dyDescent="0.25">
      <c r="B11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8"/>
      <c r="P114" s="51"/>
      <c r="Q114"/>
      <c r="R114"/>
      <c r="S114"/>
      <c r="T114"/>
      <c r="U114"/>
      <c r="V114"/>
      <c r="W114"/>
      <c r="X114"/>
      <c r="Y114"/>
      <c r="Z114"/>
      <c r="AA114"/>
      <c r="AB114"/>
      <c r="AC114"/>
    </row>
    <row r="115" spans="2:29" s="43" customFormat="1" hidden="1" x14ac:dyDescent="0.25">
      <c r="B115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8"/>
      <c r="P115" s="51"/>
      <c r="Q115"/>
      <c r="R115"/>
      <c r="S115"/>
      <c r="T115"/>
      <c r="U115"/>
      <c r="V115"/>
      <c r="W115"/>
      <c r="X115"/>
      <c r="Y115"/>
      <c r="Z115"/>
      <c r="AA115"/>
      <c r="AB115"/>
      <c r="AC115"/>
    </row>
    <row r="116" spans="2:29" s="43" customFormat="1" hidden="1" x14ac:dyDescent="0.25">
      <c r="B116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8"/>
      <c r="P116" s="51"/>
      <c r="Q116"/>
      <c r="R116"/>
      <c r="S116"/>
      <c r="T116"/>
      <c r="U116"/>
      <c r="V116"/>
      <c r="W116"/>
      <c r="X116"/>
      <c r="Y116"/>
      <c r="Z116"/>
      <c r="AA116"/>
      <c r="AB116"/>
      <c r="AC116"/>
    </row>
    <row r="117" spans="2:29" s="43" customFormat="1" hidden="1" x14ac:dyDescent="0.25">
      <c r="B117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8"/>
      <c r="P117" s="51"/>
      <c r="Q117"/>
      <c r="R117"/>
      <c r="S117"/>
      <c r="T117"/>
      <c r="U117"/>
      <c r="V117"/>
      <c r="W117"/>
      <c r="X117"/>
      <c r="Y117"/>
      <c r="Z117"/>
      <c r="AA117"/>
      <c r="AB117"/>
      <c r="AC117"/>
    </row>
    <row r="118" spans="2:29" s="43" customFormat="1" hidden="1" x14ac:dyDescent="0.25">
      <c r="B118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8"/>
      <c r="P118" s="51"/>
      <c r="Q118"/>
      <c r="R118"/>
      <c r="S118"/>
      <c r="T118"/>
      <c r="U118"/>
      <c r="V118"/>
      <c r="W118"/>
      <c r="X118"/>
      <c r="Y118"/>
      <c r="Z118"/>
      <c r="AA118"/>
      <c r="AB118"/>
      <c r="AC118"/>
    </row>
    <row r="119" spans="2:29" s="43" customFormat="1" hidden="1" x14ac:dyDescent="0.25">
      <c r="B119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8"/>
      <c r="P119" s="51"/>
      <c r="Q119"/>
      <c r="R119"/>
      <c r="S119"/>
      <c r="T119"/>
      <c r="U119"/>
      <c r="V119"/>
      <c r="W119"/>
      <c r="X119"/>
      <c r="Y119"/>
      <c r="Z119"/>
      <c r="AA119"/>
      <c r="AB119"/>
      <c r="AC119"/>
    </row>
    <row r="120" spans="2:29" s="43" customFormat="1" hidden="1" x14ac:dyDescent="0.25">
      <c r="B120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8"/>
      <c r="P120" s="51"/>
      <c r="Q120"/>
      <c r="R120"/>
      <c r="S120"/>
      <c r="T120"/>
      <c r="U120"/>
      <c r="V120"/>
      <c r="W120"/>
      <c r="X120"/>
      <c r="Y120"/>
      <c r="Z120"/>
      <c r="AA120"/>
      <c r="AB120"/>
      <c r="AC120"/>
    </row>
    <row r="121" spans="2:29" s="43" customFormat="1" hidden="1" x14ac:dyDescent="0.25">
      <c r="B121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8"/>
      <c r="P121" s="51"/>
      <c r="Q121"/>
      <c r="R121"/>
      <c r="S121"/>
      <c r="T121"/>
      <c r="U121"/>
      <c r="V121"/>
      <c r="W121"/>
      <c r="X121"/>
      <c r="Y121"/>
      <c r="Z121"/>
      <c r="AA121"/>
      <c r="AB121"/>
      <c r="AC121"/>
    </row>
    <row r="122" spans="2:29" s="43" customFormat="1" hidden="1" x14ac:dyDescent="0.25">
      <c r="B122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8"/>
      <c r="P122" s="51"/>
      <c r="Q122"/>
      <c r="R122"/>
      <c r="S122"/>
      <c r="T122"/>
      <c r="U122"/>
      <c r="V122"/>
      <c r="W122"/>
      <c r="X122"/>
      <c r="Y122"/>
      <c r="Z122"/>
      <c r="AA122"/>
      <c r="AB122"/>
      <c r="AC122"/>
    </row>
    <row r="123" spans="2:29" s="43" customFormat="1" hidden="1" x14ac:dyDescent="0.25">
      <c r="B123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8"/>
      <c r="P123" s="51"/>
      <c r="Q123"/>
      <c r="R123"/>
      <c r="S123"/>
      <c r="T123"/>
      <c r="U123"/>
      <c r="V123"/>
      <c r="W123"/>
      <c r="X123"/>
      <c r="Y123"/>
      <c r="Z123"/>
      <c r="AA123"/>
      <c r="AB123"/>
      <c r="AC123"/>
    </row>
    <row r="124" spans="2:29" s="43" customFormat="1" hidden="1" x14ac:dyDescent="0.25">
      <c r="B12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8"/>
      <c r="P124" s="51"/>
      <c r="Q124"/>
      <c r="R124"/>
      <c r="S124"/>
      <c r="T124"/>
      <c r="U124"/>
      <c r="V124"/>
      <c r="W124"/>
      <c r="X124"/>
      <c r="Y124"/>
      <c r="Z124"/>
      <c r="AA124"/>
      <c r="AB124"/>
      <c r="AC124"/>
    </row>
    <row r="125" spans="2:29" s="43" customFormat="1" hidden="1" x14ac:dyDescent="0.25">
      <c r="B125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8"/>
      <c r="P125" s="51"/>
      <c r="Q125"/>
      <c r="R125"/>
      <c r="S125"/>
      <c r="T125"/>
      <c r="U125"/>
      <c r="V125"/>
      <c r="W125"/>
      <c r="X125"/>
      <c r="Y125"/>
      <c r="Z125"/>
      <c r="AA125"/>
      <c r="AB125"/>
      <c r="AC125"/>
    </row>
    <row r="126" spans="2:29" s="43" customFormat="1" hidden="1" x14ac:dyDescent="0.25">
      <c r="B126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8"/>
      <c r="P126" s="51"/>
      <c r="Q126"/>
      <c r="R126"/>
      <c r="S126"/>
      <c r="T126"/>
      <c r="U126"/>
      <c r="V126"/>
      <c r="W126"/>
      <c r="X126"/>
      <c r="Y126"/>
      <c r="Z126"/>
      <c r="AA126"/>
      <c r="AB126"/>
      <c r="AC126"/>
    </row>
    <row r="127" spans="2:29" s="43" customFormat="1" hidden="1" x14ac:dyDescent="0.25">
      <c r="B127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8"/>
      <c r="P127" s="51"/>
      <c r="Q127"/>
      <c r="R127"/>
      <c r="S127"/>
      <c r="T127"/>
      <c r="U127"/>
      <c r="V127"/>
      <c r="W127"/>
      <c r="X127"/>
      <c r="Y127"/>
      <c r="Z127"/>
      <c r="AA127"/>
      <c r="AB127"/>
      <c r="AC127"/>
    </row>
    <row r="128" spans="2:29" s="43" customFormat="1" hidden="1" x14ac:dyDescent="0.25">
      <c r="B128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8"/>
      <c r="P128" s="51"/>
      <c r="Q128"/>
      <c r="R128"/>
      <c r="S128"/>
      <c r="T128"/>
      <c r="U128"/>
      <c r="V128"/>
      <c r="W128"/>
      <c r="X128"/>
      <c r="Y128"/>
      <c r="Z128"/>
      <c r="AA128"/>
      <c r="AB128"/>
      <c r="AC128"/>
    </row>
    <row r="129" spans="2:29" s="43" customFormat="1" hidden="1" x14ac:dyDescent="0.25">
      <c r="B129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8"/>
      <c r="P129" s="51"/>
      <c r="Q129"/>
      <c r="R129"/>
      <c r="S129"/>
      <c r="T129"/>
      <c r="U129"/>
      <c r="V129"/>
      <c r="W129"/>
      <c r="X129"/>
      <c r="Y129"/>
      <c r="Z129"/>
      <c r="AA129"/>
      <c r="AB129"/>
      <c r="AC129"/>
    </row>
    <row r="130" spans="2:29" s="43" customFormat="1" hidden="1" x14ac:dyDescent="0.25">
      <c r="B130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8"/>
      <c r="P130" s="51"/>
      <c r="Q130"/>
      <c r="R130"/>
      <c r="S130"/>
      <c r="T130"/>
      <c r="U130"/>
      <c r="V130"/>
      <c r="W130"/>
      <c r="X130"/>
      <c r="Y130"/>
      <c r="Z130"/>
      <c r="AA130"/>
      <c r="AB130"/>
      <c r="AC130"/>
    </row>
    <row r="131" spans="2:29" s="43" customFormat="1" hidden="1" x14ac:dyDescent="0.25">
      <c r="B131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8"/>
      <c r="P131" s="51"/>
      <c r="Q131"/>
      <c r="R131"/>
      <c r="S131"/>
      <c r="T131"/>
      <c r="U131"/>
      <c r="V131"/>
      <c r="W131"/>
      <c r="X131"/>
      <c r="Y131"/>
      <c r="Z131"/>
      <c r="AA131"/>
      <c r="AB131"/>
      <c r="AC131"/>
    </row>
    <row r="132" spans="2:29" s="43" customFormat="1" hidden="1" x14ac:dyDescent="0.25">
      <c r="B132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8"/>
      <c r="P132" s="51"/>
      <c r="Q132"/>
      <c r="R132"/>
      <c r="S132"/>
      <c r="T132"/>
      <c r="U132"/>
      <c r="V132"/>
      <c r="W132"/>
      <c r="X132"/>
      <c r="Y132"/>
      <c r="Z132"/>
      <c r="AA132"/>
      <c r="AB132"/>
      <c r="AC132"/>
    </row>
    <row r="133" spans="2:29" s="43" customFormat="1" hidden="1" x14ac:dyDescent="0.25">
      <c r="B133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8"/>
      <c r="P133" s="51"/>
      <c r="Q133"/>
      <c r="R133"/>
      <c r="S133"/>
      <c r="T133"/>
      <c r="U133"/>
      <c r="V133"/>
      <c r="W133"/>
      <c r="X133"/>
      <c r="Y133"/>
      <c r="Z133"/>
      <c r="AA133"/>
      <c r="AB133"/>
      <c r="AC133"/>
    </row>
    <row r="134" spans="2:29" s="43" customFormat="1" hidden="1" x14ac:dyDescent="0.25">
      <c r="B13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8"/>
      <c r="P134" s="51"/>
      <c r="Q134"/>
      <c r="R134"/>
      <c r="S134"/>
      <c r="T134"/>
      <c r="U134"/>
      <c r="V134"/>
      <c r="W134"/>
      <c r="X134"/>
      <c r="Y134"/>
      <c r="Z134"/>
      <c r="AA134"/>
      <c r="AB134"/>
      <c r="AC134"/>
    </row>
    <row r="135" spans="2:29" s="43" customFormat="1" hidden="1" x14ac:dyDescent="0.25">
      <c r="B135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8"/>
      <c r="P135" s="51"/>
      <c r="Q135"/>
      <c r="R135"/>
      <c r="S135"/>
      <c r="T135"/>
      <c r="U135"/>
      <c r="V135"/>
      <c r="W135"/>
      <c r="X135"/>
      <c r="Y135"/>
      <c r="Z135"/>
      <c r="AA135"/>
      <c r="AB135"/>
      <c r="AC135"/>
    </row>
    <row r="136" spans="2:29" s="43" customFormat="1" hidden="1" x14ac:dyDescent="0.25">
      <c r="B136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8"/>
      <c r="P136" s="51"/>
      <c r="Q136"/>
      <c r="R136"/>
      <c r="S136"/>
      <c r="T136"/>
      <c r="U136"/>
      <c r="V136"/>
      <c r="W136"/>
      <c r="X136"/>
      <c r="Y136"/>
      <c r="Z136"/>
      <c r="AA136"/>
      <c r="AB136"/>
      <c r="AC136"/>
    </row>
    <row r="137" spans="2:29" s="43" customFormat="1" hidden="1" x14ac:dyDescent="0.25">
      <c r="B137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8"/>
      <c r="P137" s="51"/>
      <c r="Q137"/>
      <c r="R137"/>
      <c r="S137"/>
      <c r="T137"/>
      <c r="U137"/>
      <c r="V137"/>
      <c r="W137"/>
      <c r="X137"/>
      <c r="Y137"/>
      <c r="Z137"/>
      <c r="AA137"/>
      <c r="AB137"/>
      <c r="AC137"/>
    </row>
    <row r="138" spans="2:29" s="43" customFormat="1" hidden="1" x14ac:dyDescent="0.25">
      <c r="B138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8"/>
      <c r="P138" s="51"/>
      <c r="Q138"/>
      <c r="R138"/>
      <c r="S138"/>
      <c r="T138"/>
      <c r="U138"/>
      <c r="V138"/>
      <c r="W138"/>
      <c r="X138"/>
      <c r="Y138"/>
      <c r="Z138"/>
      <c r="AA138"/>
      <c r="AB138"/>
      <c r="AC138"/>
    </row>
    <row r="139" spans="2:29" s="43" customFormat="1" hidden="1" x14ac:dyDescent="0.25">
      <c r="B139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8"/>
      <c r="P139" s="51"/>
      <c r="Q139"/>
      <c r="R139"/>
      <c r="S139"/>
      <c r="T139"/>
      <c r="U139"/>
      <c r="V139"/>
      <c r="W139"/>
      <c r="X139"/>
      <c r="Y139"/>
      <c r="Z139"/>
      <c r="AA139"/>
      <c r="AB139"/>
      <c r="AC139"/>
    </row>
    <row r="140" spans="2:29" s="43" customFormat="1" hidden="1" x14ac:dyDescent="0.25">
      <c r="B140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8"/>
      <c r="P140" s="51"/>
      <c r="Q140"/>
      <c r="R140"/>
      <c r="S140"/>
      <c r="T140"/>
      <c r="U140"/>
      <c r="V140"/>
      <c r="W140"/>
      <c r="X140"/>
      <c r="Y140"/>
      <c r="Z140"/>
      <c r="AA140"/>
      <c r="AB140"/>
      <c r="AC140"/>
    </row>
    <row r="141" spans="2:29" s="43" customFormat="1" hidden="1" x14ac:dyDescent="0.25">
      <c r="B141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8"/>
      <c r="P141" s="51"/>
      <c r="Q141"/>
      <c r="R141"/>
      <c r="S141"/>
      <c r="T141"/>
      <c r="U141"/>
      <c r="V141"/>
      <c r="W141"/>
      <c r="X141"/>
      <c r="Y141"/>
      <c r="Z141"/>
      <c r="AA141"/>
      <c r="AB141"/>
      <c r="AC141"/>
    </row>
    <row r="142" spans="2:29" s="43" customFormat="1" hidden="1" x14ac:dyDescent="0.25">
      <c r="B142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8"/>
      <c r="P142" s="51"/>
      <c r="Q142"/>
      <c r="R142"/>
      <c r="S142"/>
      <c r="T142"/>
      <c r="U142"/>
      <c r="V142"/>
      <c r="W142"/>
      <c r="X142"/>
      <c r="Y142"/>
      <c r="Z142"/>
      <c r="AA142"/>
      <c r="AB142"/>
      <c r="AC142"/>
    </row>
    <row r="143" spans="2:29" s="43" customFormat="1" hidden="1" x14ac:dyDescent="0.25">
      <c r="B143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8"/>
      <c r="P143" s="51"/>
      <c r="Q143"/>
      <c r="R143"/>
      <c r="S143"/>
      <c r="T143"/>
      <c r="U143"/>
      <c r="V143"/>
      <c r="W143"/>
      <c r="X143"/>
      <c r="Y143"/>
      <c r="Z143"/>
      <c r="AA143"/>
      <c r="AB143"/>
      <c r="AC143"/>
    </row>
    <row r="144" spans="2:29" s="43" customFormat="1" hidden="1" x14ac:dyDescent="0.25">
      <c r="B1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8"/>
      <c r="P144" s="51"/>
      <c r="Q144"/>
      <c r="R144"/>
      <c r="S144"/>
      <c r="T144"/>
      <c r="U144"/>
      <c r="V144"/>
      <c r="W144"/>
      <c r="X144"/>
      <c r="Y144"/>
      <c r="Z144"/>
      <c r="AA144"/>
      <c r="AB144"/>
      <c r="AC144"/>
    </row>
    <row r="145" spans="2:29" s="43" customFormat="1" hidden="1" x14ac:dyDescent="0.25">
      <c r="B145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8"/>
      <c r="P145" s="51"/>
      <c r="Q145"/>
      <c r="R145"/>
      <c r="S145"/>
      <c r="T145"/>
      <c r="U145"/>
      <c r="V145"/>
      <c r="W145"/>
      <c r="X145"/>
      <c r="Y145"/>
      <c r="Z145"/>
      <c r="AA145"/>
      <c r="AB145"/>
      <c r="AC145"/>
    </row>
    <row r="146" spans="2:29" s="43" customFormat="1" hidden="1" x14ac:dyDescent="0.25">
      <c r="B146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8"/>
      <c r="P146" s="51"/>
      <c r="Q146"/>
      <c r="R146"/>
      <c r="S146"/>
      <c r="T146"/>
      <c r="U146"/>
      <c r="V146"/>
      <c r="W146"/>
      <c r="X146"/>
      <c r="Y146"/>
      <c r="Z146"/>
      <c r="AA146"/>
      <c r="AB146"/>
      <c r="AC146"/>
    </row>
    <row r="147" spans="2:29" s="43" customFormat="1" hidden="1" x14ac:dyDescent="0.25">
      <c r="B147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8"/>
      <c r="P147" s="51"/>
      <c r="Q147"/>
      <c r="R147"/>
      <c r="S147"/>
      <c r="T147"/>
      <c r="U147"/>
      <c r="V147"/>
      <c r="W147"/>
      <c r="X147"/>
      <c r="Y147"/>
      <c r="Z147"/>
      <c r="AA147"/>
      <c r="AB147"/>
      <c r="AC147"/>
    </row>
    <row r="148" spans="2:29" s="43" customFormat="1" hidden="1" x14ac:dyDescent="0.25">
      <c r="B148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8"/>
      <c r="P148" s="51"/>
      <c r="Q148"/>
      <c r="R148"/>
      <c r="S148"/>
      <c r="T148"/>
      <c r="U148"/>
      <c r="V148"/>
      <c r="W148"/>
      <c r="X148"/>
      <c r="Y148"/>
      <c r="Z148"/>
      <c r="AA148"/>
      <c r="AB148"/>
      <c r="AC148"/>
    </row>
    <row r="149" spans="2:29" s="43" customFormat="1" hidden="1" x14ac:dyDescent="0.25">
      <c r="B149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8"/>
      <c r="P149" s="51"/>
      <c r="Q149"/>
      <c r="R149"/>
      <c r="S149"/>
      <c r="T149"/>
      <c r="U149"/>
      <c r="V149"/>
      <c r="W149"/>
      <c r="X149"/>
      <c r="Y149"/>
      <c r="Z149"/>
      <c r="AA149"/>
      <c r="AB149"/>
      <c r="AC149"/>
    </row>
  </sheetData>
  <mergeCells count="1">
    <mergeCell ref="C7:N7"/>
  </mergeCells>
  <conditionalFormatting sqref="P69">
    <cfRule type="cellIs" dxfId="1" priority="2" operator="equal">
      <formula>"ERROR"</formula>
    </cfRule>
  </conditionalFormatting>
  <conditionalFormatting sqref="A8">
    <cfRule type="cellIs" dxfId="0" priority="1" operator="equal">
      <formula>"ERROR"</formula>
    </cfRule>
  </conditionalFormatting>
  <pageMargins left="0.25" right="0.25" top="0.25" bottom="0.25" header="0.3" footer="0.3"/>
  <pageSetup paperSize="17" scale="75" fitToHeight="0" orientation="landscape" r:id="rId1"/>
  <headerFoot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Shared with BPC on 9-29-23</vt:lpstr>
      <vt:lpstr>'Shared with BPC on 9-29-23'!Print_Area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Pietroski, John T</dc:creator>
  <cp:lastModifiedBy>Pietroski, John T</cp:lastModifiedBy>
  <cp:lastPrinted>2023-10-05T15:07:23Z</cp:lastPrinted>
  <dcterms:created xsi:type="dcterms:W3CDTF">2023-10-04T13:37:37Z</dcterms:created>
  <dcterms:modified xsi:type="dcterms:W3CDTF">2023-10-05T18:20:27Z</dcterms:modified>
</cp:coreProperties>
</file>